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O:\Financial\CIP SDCs Rate Review\2026 New SDC models\"/>
    </mc:Choice>
  </mc:AlternateContent>
  <xr:revisionPtr revIDLastSave="0" documentId="13_ncr:1_{9852AB63-B8C3-430C-8482-1A7A01C72AA4}" xr6:coauthVersionLast="47" xr6:coauthVersionMax="47" xr10:uidLastSave="{00000000-0000-0000-0000-000000000000}"/>
  <workbookProtection workbookAlgorithmName="SHA-512" workbookHashValue="rrz4N2jxF/Geit5/u7Dy2w7pRyE6DH766pMKG6nGLxSHwJMaLuxmOPyTMXem/rD7v7GoypGCB6S7maNdhK27rg==" workbookSaltValue="lmOfnnfGr95wvZCzGhSdrQ==" workbookSpinCount="100000" lockStructure="1"/>
  <bookViews>
    <workbookView xWindow="19620" yWindow="1635" windowWidth="28545" windowHeight="17265" xr2:uid="{94F79D39-9E17-4606-97C0-E1DFB4AB07AE}"/>
  </bookViews>
  <sheets>
    <sheet name="SDC Per Meter Size" sheetId="1" r:id="rId1"/>
    <sheet name="Charge Analysis" sheetId="2" r:id="rId2"/>
    <sheet name="Planning Data" sheetId="3" r:id="rId3"/>
    <sheet name="Inventory of Current System" sheetId="4" r:id="rId4"/>
    <sheet name="CIP" sheetId="5" r:id="rId5"/>
  </sheets>
  <externalReferences>
    <externalReference r:id="rId6"/>
  </externalReferences>
  <definedNames>
    <definedName name="_xlnm._FilterDatabase" localSheetId="4" hidden="1">CIP!$A$1:$G$34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8" i="1" l="1"/>
  <c r="B27" i="1"/>
  <c r="B26" i="1"/>
  <c r="B25" i="1"/>
  <c r="B24" i="1"/>
  <c r="B23" i="1"/>
  <c r="B22" i="1"/>
  <c r="B21" i="1"/>
  <c r="B20" i="1"/>
  <c r="B13" i="1"/>
  <c r="B12" i="1"/>
  <c r="B11" i="1"/>
  <c r="B10" i="1"/>
  <c r="B9" i="1"/>
  <c r="B8" i="1"/>
  <c r="B7" i="1"/>
  <c r="B6" i="1"/>
  <c r="B5" i="1"/>
  <c r="V28" i="1"/>
  <c r="U28" i="1"/>
  <c r="B27" i="2"/>
  <c r="B26" i="2"/>
  <c r="B15" i="2"/>
  <c r="B8" i="2"/>
  <c r="B4" i="2"/>
  <c r="B3" i="2"/>
  <c r="B37" i="2"/>
  <c r="B28" i="2"/>
  <c r="B33" i="2" s="1"/>
  <c r="B16" i="2"/>
  <c r="B5" i="2"/>
  <c r="B23" i="3"/>
  <c r="C43" i="3"/>
  <c r="E42" i="3"/>
  <c r="E41" i="3"/>
  <c r="E40" i="3"/>
  <c r="E39" i="3"/>
  <c r="E38" i="3"/>
  <c r="E37" i="3"/>
  <c r="D36" i="3"/>
  <c r="E36" i="3" s="1"/>
  <c r="E35" i="3"/>
  <c r="E34" i="3"/>
  <c r="E43" i="3" s="1"/>
  <c r="B8" i="3"/>
  <c r="B24" i="3"/>
  <c r="B15" i="3"/>
  <c r="B16" i="3" s="1"/>
  <c r="C13" i="3"/>
  <c r="C15" i="3" s="1"/>
  <c r="C16" i="3" s="1"/>
  <c r="C6" i="3"/>
  <c r="C8" i="3" s="1"/>
  <c r="J251" i="4"/>
  <c r="D251" i="4"/>
  <c r="F251" i="4" s="1"/>
  <c r="J249" i="4"/>
  <c r="D233" i="4"/>
  <c r="D243" i="4" s="1"/>
  <c r="D249" i="4" s="1"/>
  <c r="F230" i="4"/>
  <c r="F229" i="4"/>
  <c r="F228" i="4"/>
  <c r="F227" i="4"/>
  <c r="F226" i="4"/>
  <c r="F225" i="4"/>
  <c r="F224" i="4"/>
  <c r="F223" i="4"/>
  <c r="F222" i="4"/>
  <c r="F221" i="4"/>
  <c r="F220" i="4"/>
  <c r="F219" i="4"/>
  <c r="E218" i="4"/>
  <c r="F218" i="4" s="1"/>
  <c r="F217" i="4"/>
  <c r="F216" i="4"/>
  <c r="F215" i="4"/>
  <c r="F214" i="4"/>
  <c r="E213" i="4"/>
  <c r="F213" i="4" s="1"/>
  <c r="F212" i="4"/>
  <c r="F211" i="4"/>
  <c r="F210" i="4"/>
  <c r="F209" i="4"/>
  <c r="F208" i="4"/>
  <c r="F207" i="4"/>
  <c r="F204" i="4"/>
  <c r="F202" i="4"/>
  <c r="F201" i="4"/>
  <c r="F199" i="4"/>
  <c r="F197" i="4"/>
  <c r="F196" i="4"/>
  <c r="F195" i="4"/>
  <c r="F194" i="4"/>
  <c r="F193" i="4"/>
  <c r="F192" i="4"/>
  <c r="F191" i="4"/>
  <c r="F190" i="4"/>
  <c r="F189" i="4"/>
  <c r="E188" i="4"/>
  <c r="F188" i="4" s="1"/>
  <c r="F187" i="4"/>
  <c r="F186" i="4"/>
  <c r="F184" i="4"/>
  <c r="F183" i="4"/>
  <c r="F182" i="4"/>
  <c r="F181" i="4"/>
  <c r="F180" i="4"/>
  <c r="F179" i="4"/>
  <c r="F178" i="4"/>
  <c r="F177" i="4"/>
  <c r="F176" i="4"/>
  <c r="F175" i="4"/>
  <c r="F174" i="4"/>
  <c r="F173" i="4"/>
  <c r="F172" i="4"/>
  <c r="F171" i="4"/>
  <c r="F170" i="4"/>
  <c r="F169" i="4"/>
  <c r="F168" i="4"/>
  <c r="F167" i="4"/>
  <c r="F166" i="4"/>
  <c r="F165" i="4"/>
  <c r="F164" i="4"/>
  <c r="F163" i="4"/>
  <c r="F162" i="4"/>
  <c r="F161" i="4"/>
  <c r="F160" i="4"/>
  <c r="F159" i="4"/>
  <c r="F158" i="4"/>
  <c r="F157" i="4"/>
  <c r="F156" i="4"/>
  <c r="F155" i="4"/>
  <c r="F153" i="4"/>
  <c r="F152" i="4"/>
  <c r="F151" i="4"/>
  <c r="F150" i="4"/>
  <c r="F149" i="4"/>
  <c r="F148" i="4"/>
  <c r="F147" i="4"/>
  <c r="F146" i="4"/>
  <c r="F145" i="4"/>
  <c r="F144" i="4"/>
  <c r="F143" i="4"/>
  <c r="F142" i="4"/>
  <c r="F141" i="4"/>
  <c r="F140" i="4"/>
  <c r="F139" i="4"/>
  <c r="F138" i="4"/>
  <c r="F137" i="4"/>
  <c r="F136" i="4"/>
  <c r="F135" i="4"/>
  <c r="F134" i="4"/>
  <c r="F133" i="4"/>
  <c r="F132" i="4"/>
  <c r="F131" i="4"/>
  <c r="F130" i="4"/>
  <c r="F129" i="4"/>
  <c r="F128" i="4"/>
  <c r="F127" i="4"/>
  <c r="F126" i="4"/>
  <c r="F125" i="4"/>
  <c r="F124" i="4"/>
  <c r="F123" i="4"/>
  <c r="F122" i="4"/>
  <c r="F121" i="4"/>
  <c r="F120" i="4"/>
  <c r="F119" i="4"/>
  <c r="F118" i="4"/>
  <c r="F117" i="4"/>
  <c r="F116" i="4"/>
  <c r="F115" i="4"/>
  <c r="F114" i="4"/>
  <c r="F113" i="4"/>
  <c r="F112" i="4"/>
  <c r="F111" i="4"/>
  <c r="F110" i="4"/>
  <c r="F109" i="4"/>
  <c r="F108" i="4"/>
  <c r="F107" i="4"/>
  <c r="F106" i="4"/>
  <c r="F105" i="4"/>
  <c r="F104" i="4"/>
  <c r="F103" i="4"/>
  <c r="F102" i="4"/>
  <c r="F101" i="4"/>
  <c r="F100" i="4"/>
  <c r="F99" i="4"/>
  <c r="F98" i="4"/>
  <c r="F97" i="4"/>
  <c r="F96" i="4"/>
  <c r="F95" i="4"/>
  <c r="F94" i="4"/>
  <c r="F93" i="4"/>
  <c r="F91" i="4"/>
  <c r="F90" i="4"/>
  <c r="F89" i="4"/>
  <c r="F88" i="4"/>
  <c r="F87" i="4"/>
  <c r="F86" i="4"/>
  <c r="F85" i="4"/>
  <c r="F84" i="4"/>
  <c r="F83" i="4"/>
  <c r="F82" i="4"/>
  <c r="F81" i="4"/>
  <c r="F80" i="4"/>
  <c r="F79" i="4"/>
  <c r="F78" i="4"/>
  <c r="F77" i="4"/>
  <c r="F76" i="4"/>
  <c r="F75" i="4"/>
  <c r="F74" i="4"/>
  <c r="F73" i="4"/>
  <c r="F72" i="4"/>
  <c r="F71" i="4"/>
  <c r="F70" i="4"/>
  <c r="F69" i="4"/>
  <c r="F68" i="4"/>
  <c r="F67" i="4"/>
  <c r="F66" i="4"/>
  <c r="F65" i="4"/>
  <c r="F64" i="4"/>
  <c r="F63" i="4"/>
  <c r="F62" i="4"/>
  <c r="F61" i="4"/>
  <c r="F60" i="4"/>
  <c r="F59" i="4"/>
  <c r="F58" i="4"/>
  <c r="F57" i="4"/>
  <c r="F56" i="4"/>
  <c r="F55" i="4"/>
  <c r="F54" i="4"/>
  <c r="F53" i="4"/>
  <c r="F52" i="4"/>
  <c r="F51" i="4"/>
  <c r="F50" i="4"/>
  <c r="F49" i="4"/>
  <c r="F48" i="4"/>
  <c r="F47" i="4"/>
  <c r="F46" i="4"/>
  <c r="F45" i="4"/>
  <c r="F44" i="4"/>
  <c r="F43" i="4"/>
  <c r="F42" i="4"/>
  <c r="F41" i="4"/>
  <c r="F40" i="4"/>
  <c r="F39" i="4"/>
  <c r="F38" i="4"/>
  <c r="F36" i="4"/>
  <c r="F35" i="4"/>
  <c r="F34" i="4"/>
  <c r="F33" i="4"/>
  <c r="F32" i="4"/>
  <c r="F31" i="4"/>
  <c r="F30" i="4"/>
  <c r="F29" i="4"/>
  <c r="F28" i="4"/>
  <c r="F27" i="4"/>
  <c r="F26" i="4"/>
  <c r="F25" i="4"/>
  <c r="F24" i="4"/>
  <c r="F23" i="4"/>
  <c r="F22" i="4"/>
  <c r="F21" i="4"/>
  <c r="F20" i="4"/>
  <c r="F19" i="4"/>
  <c r="F18" i="4"/>
  <c r="F17" i="4"/>
  <c r="F16" i="4"/>
  <c r="F15" i="4"/>
  <c r="F14" i="4"/>
  <c r="F13" i="4"/>
  <c r="F12" i="4"/>
  <c r="F11" i="4"/>
  <c r="F10" i="4"/>
  <c r="F9" i="4"/>
  <c r="F8" i="4"/>
  <c r="F7" i="4"/>
  <c r="F6" i="4"/>
  <c r="F5" i="4"/>
  <c r="F4" i="4"/>
  <c r="F3" i="4"/>
  <c r="F2" i="4"/>
  <c r="F243" i="4" s="1"/>
  <c r="F249" i="4" s="1"/>
  <c r="G45" i="5"/>
  <c r="G38" i="5"/>
  <c r="G36" i="5"/>
  <c r="E36" i="5"/>
  <c r="G3" i="5"/>
  <c r="G4" i="5"/>
  <c r="G5" i="5"/>
  <c r="G6" i="5"/>
  <c r="G7" i="5"/>
  <c r="G8" i="5"/>
  <c r="G9" i="5"/>
  <c r="G10" i="5"/>
  <c r="G11" i="5"/>
  <c r="G12" i="5"/>
  <c r="G13" i="5"/>
  <c r="G14" i="5"/>
  <c r="G15" i="5"/>
  <c r="G16" i="5"/>
  <c r="G17" i="5"/>
  <c r="G18" i="5"/>
  <c r="G19" i="5"/>
  <c r="G20" i="5"/>
  <c r="G21" i="5"/>
  <c r="G22" i="5"/>
  <c r="G23" i="5"/>
  <c r="G24" i="5"/>
  <c r="G25" i="5"/>
  <c r="G26" i="5"/>
  <c r="G27" i="5"/>
  <c r="G28" i="5"/>
  <c r="G29" i="5"/>
  <c r="G30" i="5"/>
  <c r="G31" i="5"/>
  <c r="G32" i="5"/>
  <c r="G33" i="5"/>
  <c r="G34" i="5"/>
  <c r="G2" i="5"/>
  <c r="B10" i="2" l="1"/>
  <c r="B17" i="2"/>
  <c r="B18" i="2" s="1"/>
  <c r="B38" i="2"/>
  <c r="B39" i="2" s="1"/>
  <c r="B41" i="2" s="1"/>
  <c r="B20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tc={256A11E3-51ED-4B4B-91AF-DA0779D1E5C8}</author>
  </authors>
  <commentList>
    <comment ref="D243" authorId="0" shapeId="0" xr:uid="{256A11E3-51ED-4B4B-91AF-DA0779D1E5C8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Dear Council - we did not increase the inflation rate on Water SDC Model…. 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Deb Galardi</author>
  </authors>
  <commentList>
    <comment ref="F8" authorId="0" shapeId="0" xr:uid="{04D4B4BF-75C8-4ABD-960D-AD899CB29723}">
      <text>
        <r>
          <rPr>
            <b/>
            <sz val="9"/>
            <color indexed="81"/>
            <rFont val="Tahoma"/>
            <family val="2"/>
          </rPr>
          <t>Deb Galardi:</t>
        </r>
        <r>
          <rPr>
            <sz val="9"/>
            <color indexed="81"/>
            <rFont val="Tahoma"/>
            <family val="2"/>
          </rPr>
          <t xml:space="preserve">
Improvements in Z1 only</t>
        </r>
      </text>
    </comment>
    <comment ref="B9" authorId="0" shapeId="0" xr:uid="{DDC4B2E9-985A-4DDB-9220-506012AF88A5}">
      <text>
        <r>
          <rPr>
            <b/>
            <sz val="9"/>
            <color indexed="81"/>
            <rFont val="Tahoma"/>
            <family val="2"/>
          </rPr>
          <t>Deb Galardi:</t>
        </r>
        <r>
          <rPr>
            <sz val="9"/>
            <color indexed="81"/>
            <rFont val="Tahoma"/>
            <family val="2"/>
          </rPr>
          <t xml:space="preserve">
date from 2019 rate study cip</t>
        </r>
      </text>
    </comment>
    <comment ref="F33" authorId="0" shapeId="0" xr:uid="{CEA7EA1A-8406-42C6-8C1A-50CA6152BC48}">
      <text>
        <r>
          <rPr>
            <b/>
            <sz val="9"/>
            <color indexed="81"/>
            <rFont val="Tahoma"/>
            <family val="2"/>
          </rPr>
          <t>Deb Galardi:</t>
        </r>
        <r>
          <rPr>
            <sz val="9"/>
            <color indexed="81"/>
            <rFont val="Tahoma"/>
            <family val="2"/>
          </rPr>
          <t xml:space="preserve">
Per Kaaren</t>
        </r>
      </text>
    </comment>
  </commentList>
</comments>
</file>

<file path=xl/sharedStrings.xml><?xml version="1.0" encoding="utf-8"?>
<sst xmlns="http://schemas.openxmlformats.org/spreadsheetml/2006/main" count="618" uniqueCount="340">
  <si>
    <t>Project</t>
  </si>
  <si>
    <t>0-5 Years</t>
  </si>
  <si>
    <t>5-10 Years</t>
  </si>
  <si>
    <t>10-20 Years</t>
  </si>
  <si>
    <t>Cost Estimate</t>
  </si>
  <si>
    <t>2 mgd redundant supply development</t>
  </si>
  <si>
    <t>In design only</t>
  </si>
  <si>
    <t>Seismic resilience - add emergency conection and controls at  existing WTP</t>
  </si>
  <si>
    <t>New Groundwater Treatment Plant (price increase 2025)</t>
  </si>
  <si>
    <t>Bell East Pump Station - Zone 3 constant pressure</t>
  </si>
  <si>
    <t>Bell West Pump Station - Zone 2 constant pressure; mains Bell West P.S. to Veritas School M-14, M-15</t>
  </si>
  <si>
    <t>Seismic Upgrades to pipes</t>
  </si>
  <si>
    <t>Upsize existing mains; construct new distribution loops to improve fire flow capacity</t>
  </si>
  <si>
    <t>M6 complete</t>
  </si>
  <si>
    <t>NE Zimri Drive Zone 3  distribution backbone within UGB</t>
  </si>
  <si>
    <t>Upsize existing 6-inch mains to 8-inch mains on S Main, S Lincoln, W 4th, W 5th Streets</t>
  </si>
  <si>
    <t>Upsize existing 4- and 6-inch mains to 12-inch mains on S Blaine Street</t>
  </si>
  <si>
    <t>Upsize existing 6-inch main to 8-inch main in S College Street north of E 9th Street</t>
  </si>
  <si>
    <t>Upsize existing 6-inch mains to 12-inch mains in E 9th Street, Charles Street, and S College Street</t>
  </si>
  <si>
    <t>Upsize existing 6-inch main to 8-inch main in S Meridian Street north of E 5th Street</t>
  </si>
  <si>
    <t>Upsize existing 6-inch main to 12-inch main in S Meridian Street</t>
  </si>
  <si>
    <t>Upsize existing 4- and 6-inch mains to 12-inch mains in E 7th Street, S Pacific Street, E 9th Street, and Paradise Drive</t>
  </si>
  <si>
    <t>Upsize existing 6-inch mains to 12-inch mains in S River Street</t>
  </si>
  <si>
    <t>Upsize existing 6-inch mains to 12-inch mains in E 5th Street</t>
  </si>
  <si>
    <t>Upsize existing 6-inch main to 8-inch main from E 11th Street to the Boston Square Apartments</t>
  </si>
  <si>
    <t>New water mains to serve future development in Riverfront area</t>
  </si>
  <si>
    <t>Upsize existing 6-inch S College St main to 8-inch main to serve future Riverfront development</t>
  </si>
  <si>
    <t>Upsize existing 6-inch River and 11th St mains to 12-inch mains to serve future Riverfront development</t>
  </si>
  <si>
    <t xml:space="preserve">Seismic resilience - cast iron and concrete pipe replacement </t>
  </si>
  <si>
    <t>Chehalem Drive water system extension west and north to Columbia Drive</t>
  </si>
  <si>
    <t>College Street WL to Mountain View</t>
  </si>
  <si>
    <t>1.7 MG Bell Road Reservoir - Zone 3</t>
  </si>
  <si>
    <t>Zimri Dr. E transmission main to Bell Rd Reservoir</t>
  </si>
  <si>
    <t>Bell Rd W transmission main - N College Street to Zimri Dr.</t>
  </si>
  <si>
    <t>Water Management &amp; Conservation Plan update</t>
  </si>
  <si>
    <t>Water System Master Plan update</t>
  </si>
  <si>
    <t>AWIA Risk &amp; Resilience Assessment</t>
  </si>
  <si>
    <t>Seismic resilience planning</t>
  </si>
  <si>
    <t>Public Works Maintenance Facility Master Plan</t>
  </si>
  <si>
    <t>Complete</t>
  </si>
  <si>
    <r>
      <t>Fleet Mechanic Building</t>
    </r>
    <r>
      <rPr>
        <i/>
        <sz val="8"/>
        <color rgb="FF7030A0"/>
        <rFont val="Arial Narrow"/>
        <family val="2"/>
      </rPr>
      <t xml:space="preserve"> (est completion '27-'28) spread across all 4 SDC models at 20% </t>
    </r>
  </si>
  <si>
    <t>Subtotal</t>
  </si>
  <si>
    <t>Other</t>
  </si>
  <si>
    <t>North non-potable water line and Otis Springs pumping improvements</t>
  </si>
  <si>
    <t xml:space="preserve">Subtotal </t>
  </si>
  <si>
    <t>Existing Reserves</t>
  </si>
  <si>
    <t>Interest for WIFIA Load (or similar loan)</t>
  </si>
  <si>
    <t>% SDC Eligible</t>
  </si>
  <si>
    <t>$ Eligible</t>
  </si>
  <si>
    <t>Category</t>
  </si>
  <si>
    <t>Description of Asset</t>
  </si>
  <si>
    <t>Installed</t>
  </si>
  <si>
    <t>SDC Eligible Costs</t>
  </si>
  <si>
    <t>2026/2027 Column 1</t>
  </si>
  <si>
    <t xml:space="preserve">2026/2027 Column 2 </t>
  </si>
  <si>
    <t>Non-potable Water</t>
  </si>
  <si>
    <t>Column 2024/2025 totals</t>
  </si>
  <si>
    <t>2024/2025 Column 1</t>
  </si>
  <si>
    <t>2026/2027 Column 2</t>
  </si>
  <si>
    <t>Land</t>
  </si>
  <si>
    <t>Well  Site 4</t>
  </si>
  <si>
    <t>Well Sites 1,2,3</t>
  </si>
  <si>
    <t>Reynolds Spring</t>
  </si>
  <si>
    <t>Otis Spring</t>
  </si>
  <si>
    <t>Skelton Spring</t>
  </si>
  <si>
    <t>Water Trmnt</t>
  </si>
  <si>
    <t>Reservoir Site</t>
  </si>
  <si>
    <t>Equipment</t>
  </si>
  <si>
    <t>Motor Well 1</t>
  </si>
  <si>
    <t>Chlorinator (stored)</t>
  </si>
  <si>
    <t>Effluent Valve</t>
  </si>
  <si>
    <t>Pump-Vertical 1</t>
  </si>
  <si>
    <t>Pump 3</t>
  </si>
  <si>
    <t>Pump-Vertical 2</t>
  </si>
  <si>
    <t>Flow Monitoring Sys Well 1,2,5,6</t>
  </si>
  <si>
    <t>Pipe Cutter</t>
  </si>
  <si>
    <t>Power Threader</t>
  </si>
  <si>
    <t>Pump-Vertical 3</t>
  </si>
  <si>
    <t>Pump-Submersible Well 1</t>
  </si>
  <si>
    <t>Valve 1</t>
  </si>
  <si>
    <t>Pump-Submersible Well 4</t>
  </si>
  <si>
    <t>Pump-Submersible Well 5</t>
  </si>
  <si>
    <t>Tool</t>
  </si>
  <si>
    <t>Pump-submersible Well 6</t>
  </si>
  <si>
    <t>Valve-effluent</t>
  </si>
  <si>
    <t>Pump-vertical 4</t>
  </si>
  <si>
    <t>Pump-submersible Well 5</t>
  </si>
  <si>
    <t>Buildings &amp; Improvements</t>
  </si>
  <si>
    <t>Plant Piping-Otis</t>
  </si>
  <si>
    <t>Backwash Settling</t>
  </si>
  <si>
    <t>Sedimentation Basin</t>
  </si>
  <si>
    <t>Well 4</t>
  </si>
  <si>
    <t>Well 3</t>
  </si>
  <si>
    <t>Reservoir 1</t>
  </si>
  <si>
    <t>Bridge</t>
  </si>
  <si>
    <t>Reservoir 3</t>
  </si>
  <si>
    <t>Filter Basin Addition</t>
  </si>
  <si>
    <t>Well 6</t>
  </si>
  <si>
    <t>Reservoir 2</t>
  </si>
  <si>
    <t>Otis Springs Fencing</t>
  </si>
  <si>
    <t>Paving, fencing</t>
  </si>
  <si>
    <t>Chlorine Bldg/Resvr</t>
  </si>
  <si>
    <t>Pump House</t>
  </si>
  <si>
    <t>Well 5</t>
  </si>
  <si>
    <t>Infrastructure</t>
  </si>
  <si>
    <t>FY 89-90 Water Lines</t>
  </si>
  <si>
    <t>FY 34-35 Water Lines</t>
  </si>
  <si>
    <t>FY 77-78 Water Lines</t>
  </si>
  <si>
    <t>FY 70-71 Water Lines</t>
  </si>
  <si>
    <t>FY 76-77 Water Lines</t>
  </si>
  <si>
    <t>FY 72-73 Water Lines</t>
  </si>
  <si>
    <t>FY 75-76 Water Lines</t>
  </si>
  <si>
    <t>FY 91-92 Water Lines</t>
  </si>
  <si>
    <t>FY 74-75 Water Lines</t>
  </si>
  <si>
    <t>FY 90-91 Water Lines</t>
  </si>
  <si>
    <t>FY 73-74 Water Lines</t>
  </si>
  <si>
    <t>FY 86-87 Water Lines</t>
  </si>
  <si>
    <t>FY 61-62 Water Lines</t>
  </si>
  <si>
    <t>FY 79-80 Water Lines</t>
  </si>
  <si>
    <t>FY 80-81 Water Lines</t>
  </si>
  <si>
    <t>FY 78-79 Water Lines</t>
  </si>
  <si>
    <t>FY 69-70 Water Lines</t>
  </si>
  <si>
    <t>FY 68-69 Water Lines</t>
  </si>
  <si>
    <t>FY 88-89 Water Lines</t>
  </si>
  <si>
    <t>Oliver Spring 1896</t>
  </si>
  <si>
    <t>01/01/1896</t>
  </si>
  <si>
    <t>Snyder Spring</t>
  </si>
  <si>
    <t>Level Indicator-water</t>
  </si>
  <si>
    <t>Oliver Spring-Bell Rd</t>
  </si>
  <si>
    <t>Well sites</t>
  </si>
  <si>
    <t>FY 92-93 Water lines</t>
  </si>
  <si>
    <t>Well 4-Rehabilitation</t>
  </si>
  <si>
    <t>Chlorine Rm Doors</t>
  </si>
  <si>
    <t>Valve 2</t>
  </si>
  <si>
    <t>Valve 3</t>
  </si>
  <si>
    <t>Addition-Valeri Park Water Lines</t>
  </si>
  <si>
    <t>Well 2</t>
  </si>
  <si>
    <t>Meter Reading Syst</t>
  </si>
  <si>
    <t>FY 93-94 Water Lines</t>
  </si>
  <si>
    <t>Snyder Springs Chain Link Fencing</t>
  </si>
  <si>
    <t>FY 94-95 Water Lines</t>
  </si>
  <si>
    <t>Meter Rdg-upgrade</t>
  </si>
  <si>
    <t>Well Sites 5 &amp; 6</t>
  </si>
  <si>
    <t>Well Site 7</t>
  </si>
  <si>
    <t>FY 95-96 Water Lines</t>
  </si>
  <si>
    <t>Motor Control-Well 1 &amp; 2</t>
  </si>
  <si>
    <t>Reynolds Springs Chain Link Fencing</t>
  </si>
  <si>
    <t>Inverter</t>
  </si>
  <si>
    <t>Well 4 Upgrades</t>
  </si>
  <si>
    <t>WTP 97-98</t>
  </si>
  <si>
    <t>Variable Speed Drv</t>
  </si>
  <si>
    <t>Well Field 97-98</t>
  </si>
  <si>
    <t>FY 97-98 Water Lines</t>
  </si>
  <si>
    <t>Exhaust Fans</t>
  </si>
  <si>
    <t>FY 1998-99 Water Lines</t>
  </si>
  <si>
    <t>Power Drive</t>
  </si>
  <si>
    <t>Handheld Meter Reader</t>
  </si>
  <si>
    <t>Data Link Cards 1</t>
  </si>
  <si>
    <t>Data Link Cards 2</t>
  </si>
  <si>
    <t>Grating/Handrail</t>
  </si>
  <si>
    <t>Ladder &amp; Catwalk</t>
  </si>
  <si>
    <t>Monorail Modifications</t>
  </si>
  <si>
    <t>FY 99-00 Water Lines</t>
  </si>
  <si>
    <t>Well #4 Upgrades</t>
  </si>
  <si>
    <t>Well #4 Pump</t>
  </si>
  <si>
    <t>Storage Container</t>
  </si>
  <si>
    <t>Variable Frequency Drive Well 4</t>
  </si>
  <si>
    <t>Variable Frequency Drive Well 5-1</t>
  </si>
  <si>
    <t>FY 00-01 Water Lines</t>
  </si>
  <si>
    <t>Wellfield Cable</t>
  </si>
  <si>
    <t>East Reservoir Land</t>
  </si>
  <si>
    <t>Variable Freq Drive</t>
  </si>
  <si>
    <t>Submersible Pump Well 6</t>
  </si>
  <si>
    <t>Well #4 Motor</t>
  </si>
  <si>
    <t>Well #6 Motor</t>
  </si>
  <si>
    <t>Water Tank-Flusher</t>
  </si>
  <si>
    <t>Polymer Mixer 1</t>
  </si>
  <si>
    <t>Polymer Mixer 2</t>
  </si>
  <si>
    <t>Effluent Pump #1</t>
  </si>
  <si>
    <t>Brutscher/Main Valve Replace</t>
  </si>
  <si>
    <t>FY 01-02 Water Lines</t>
  </si>
  <si>
    <t>Well #7</t>
  </si>
  <si>
    <t>Variable Frequency Drive Well 5-2</t>
  </si>
  <si>
    <t>CPU Upgrade</t>
  </si>
  <si>
    <t>FY 02-03 Water Lines</t>
  </si>
  <si>
    <t>Blower w/building 1</t>
  </si>
  <si>
    <t>Blower w/building 2</t>
  </si>
  <si>
    <t>Underdrains</t>
  </si>
  <si>
    <t>WTP Land Improvements</t>
  </si>
  <si>
    <t>Pump-Well #4</t>
  </si>
  <si>
    <t>Ditch Witch</t>
  </si>
  <si>
    <t>FY 03-04 City Water Lines</t>
  </si>
  <si>
    <t>Alarm System</t>
  </si>
  <si>
    <t>FY 2004-05 City Water Lines</t>
  </si>
  <si>
    <t>Reservoir-Corral Creek</t>
  </si>
  <si>
    <t>Folder/Inserter</t>
  </si>
  <si>
    <t>Power Panel at Otis Springs</t>
  </si>
  <si>
    <t>FY 2005-06 City Water Lines</t>
  </si>
  <si>
    <t>Otis Springs Electrical Upgrade</t>
  </si>
  <si>
    <t>WTP Security Camera System</t>
  </si>
  <si>
    <t>Otis Springs Water Line</t>
  </si>
  <si>
    <t>Water Line Oversizing 2006-07</t>
  </si>
  <si>
    <t>Otis Springs Flow Meter</t>
  </si>
  <si>
    <t>Wireless bridge WTP</t>
  </si>
  <si>
    <t>Pump and Motor for Well #2</t>
  </si>
  <si>
    <t>Parallel River Line</t>
  </si>
  <si>
    <t>Well #8</t>
  </si>
  <si>
    <t>Water Line-N Arterial S-Curve</t>
  </si>
  <si>
    <t>City-Wide Wireless Network-Water</t>
  </si>
  <si>
    <t>New key system for Operations Bldg/Stat</t>
  </si>
  <si>
    <t>Cell casing for sodium hypochlorite gen</t>
  </si>
  <si>
    <t>Alice Way LID Water Lines</t>
  </si>
  <si>
    <t>Effluent Reuse Facility-Water</t>
  </si>
  <si>
    <t>Effluent Reuse Pipelines-Water</t>
  </si>
  <si>
    <t>Effluent Reuse Membrane-Water</t>
  </si>
  <si>
    <t>Engineering Server</t>
  </si>
  <si>
    <t>Spring Improvements</t>
  </si>
  <si>
    <t>Wellfield Control Building Well #3</t>
  </si>
  <si>
    <t>Heat Pump Well #3</t>
  </si>
  <si>
    <t>Water Lines 2011-12 (City)</t>
  </si>
  <si>
    <t>Snider Springs Electrical Panel</t>
  </si>
  <si>
    <t>Furniture</t>
  </si>
  <si>
    <t>Cisco/Smartnet Network</t>
  </si>
  <si>
    <t>Submersible Pump Well #4</t>
  </si>
  <si>
    <t xml:space="preserve">Vivax Video Inspec Camera </t>
  </si>
  <si>
    <t xml:space="preserve">520 W 3rd St - Building </t>
  </si>
  <si>
    <t>520 W 3rd St - Land</t>
  </si>
  <si>
    <t>Wynooski-Riverfront Utilities</t>
  </si>
  <si>
    <t>College Street Relocation</t>
  </si>
  <si>
    <t>Well 8 Upsizing</t>
  </si>
  <si>
    <t>Canon IPF785 MFP Wide Format Plotter</t>
  </si>
  <si>
    <t>Yaskawa Chassis Pump #3</t>
  </si>
  <si>
    <t>WTP Backwash Pond Pump - 4" Flyght Pump</t>
  </si>
  <si>
    <t>Cargo Mate Trailer Model BL716TA2</t>
  </si>
  <si>
    <t>PWA Building - 500 W 3rd St</t>
  </si>
  <si>
    <t xml:space="preserve">6 Ton WTP Heat Pump </t>
  </si>
  <si>
    <t>100 KW Emergency Generator - Well #6</t>
  </si>
  <si>
    <t>Pro Cut PFM 9.2 DRO Brake Lathe</t>
  </si>
  <si>
    <t>Well 9 Design and Construction</t>
  </si>
  <si>
    <t>N Valley Road Reservoir Upgrades</t>
  </si>
  <si>
    <t>PWM Storage Building #3 Roof/Siding Replace</t>
  </si>
  <si>
    <t>Sander Spreader Truck Equipment</t>
  </si>
  <si>
    <t>Camera Package at Well Field 2</t>
  </si>
  <si>
    <t>PWM Yard Gate / Fencing</t>
  </si>
  <si>
    <t>Trak-IT SoftWare</t>
  </si>
  <si>
    <t>WTP HypoChlorite Generator</t>
  </si>
  <si>
    <t>Rotork Actuator Filter 5 Efficiency Valve IQTM500</t>
  </si>
  <si>
    <t xml:space="preserve">24" Butterfly Valve @ Wellfield </t>
  </si>
  <si>
    <t>WTP Gate Access Control</t>
  </si>
  <si>
    <t>Well # 7 Pump</t>
  </si>
  <si>
    <t>Carte'graph Systems Inc. Software</t>
  </si>
  <si>
    <t>Matrix Variable Message Reader Board Veh #967-19</t>
  </si>
  <si>
    <t>HVAC Roof Top Unit (WTP VFD Pump Room)</t>
  </si>
  <si>
    <t>Hydraulic Compactor for Existing CAT Backhoes Veh #971-20</t>
  </si>
  <si>
    <t>Hypochlorite Tank 1 (WTP)</t>
  </si>
  <si>
    <t>All Weather Canopy - PSB Carport Structure</t>
  </si>
  <si>
    <t>Hypochlorite Chemical Dosing Pump</t>
  </si>
  <si>
    <t>Install Light Pole and West End Gate Opener @ PWM Yard</t>
  </si>
  <si>
    <t>VFP Pump Motor Controller for Well 7</t>
  </si>
  <si>
    <t>2021 CASE 570 Tractor Veh# 925-21</t>
  </si>
  <si>
    <t>Rehabilitation of Well #8</t>
  </si>
  <si>
    <t>16TL 22ft Tilt Bed Trailer Veh# 966-19</t>
  </si>
  <si>
    <t>Freightliner Demo Sewer Vactor Truck Veh# 504-20</t>
  </si>
  <si>
    <t>Variable Message Board SMC4000</t>
  </si>
  <si>
    <t>Rotorak Actuator for WTP Filters</t>
  </si>
  <si>
    <t>Sutorbilt Legend Composter Pressure Blower</t>
  </si>
  <si>
    <t>WTP Expansion Land Purchase</t>
  </si>
  <si>
    <t>CIP</t>
  </si>
  <si>
    <t>Chehalem Water Extension</t>
  </si>
  <si>
    <t>Fireflow Improvements - W Illinois</t>
  </si>
  <si>
    <t>Bell West Pump Station</t>
  </si>
  <si>
    <t>Fixed Base Radio Read System</t>
  </si>
  <si>
    <t>Crestview Waterline - Non-potable</t>
  </si>
  <si>
    <t>Crestview Waterline - Potable</t>
  </si>
  <si>
    <t>PWM Building C - Office Space Addition</t>
  </si>
  <si>
    <t>N College Street - N Terrace</t>
  </si>
  <si>
    <t>College St Relocation-Ald-Foothills</t>
  </si>
  <si>
    <t>N Elliot Rd Waterline Impr</t>
  </si>
  <si>
    <t>N Howard Street Waterline Impr</t>
  </si>
  <si>
    <t>Hess Creek 338 LF8" DIP</t>
  </si>
  <si>
    <t>College Street 8" CL52 DIP 2705 LF</t>
  </si>
  <si>
    <t>2nd Street Parking Lot Rehab</t>
  </si>
  <si>
    <t>South Springbrook (Bypass) (water lines)</t>
  </si>
  <si>
    <t>Fireflow Improvements - GFU</t>
  </si>
  <si>
    <t xml:space="preserve"> Crestview Waterline - Non-potable</t>
  </si>
  <si>
    <r>
      <t xml:space="preserve">Groundwater Treatment Plant Covers </t>
    </r>
    <r>
      <rPr>
        <i/>
        <sz val="11"/>
        <color rgb="FFFF0000"/>
        <rFont val="Aptos Narrow"/>
        <family val="2"/>
        <scheme val="minor"/>
      </rPr>
      <t xml:space="preserve">(pending final cost estimated at $920K- </t>
    </r>
    <r>
      <rPr>
        <b/>
        <i/>
        <sz val="11"/>
        <color rgb="FFFF0000"/>
        <rFont val="Aptos Narrow"/>
        <family val="2"/>
        <scheme val="minor"/>
      </rPr>
      <t>0% eligibility</t>
    </r>
    <r>
      <rPr>
        <i/>
        <sz val="11"/>
        <color rgb="FFFF0000"/>
        <rFont val="Aptos Narrow"/>
        <family val="2"/>
        <scheme val="minor"/>
      </rPr>
      <t>)</t>
    </r>
  </si>
  <si>
    <r>
      <t xml:space="preserve">Oak Knoll Booster Pump Station Upgrades (Kady provided final cost $173.245.39 - </t>
    </r>
    <r>
      <rPr>
        <b/>
        <i/>
        <sz val="11"/>
        <color rgb="FF7030A0"/>
        <rFont val="Aptos Narrow"/>
        <family val="2"/>
        <scheme val="minor"/>
      </rPr>
      <t>0% eligibilit</t>
    </r>
    <r>
      <rPr>
        <i/>
        <sz val="11"/>
        <color rgb="FF7030A0"/>
        <rFont val="Aptos Narrow"/>
        <family val="2"/>
        <scheme val="minor"/>
      </rPr>
      <t>y)</t>
    </r>
  </si>
  <si>
    <t>Seismic Resilience Cast Iron and Concrete Pipes - North College Street? (Kady provided final cost $112,166.80--&gt; 11% eligible)</t>
  </si>
  <si>
    <t xml:space="preserve">Costs (minus the non-potable): </t>
  </si>
  <si>
    <t>Outstanding Debt: on 10/30/2025</t>
  </si>
  <si>
    <t>Potable Water</t>
  </si>
  <si>
    <t>Non-potable Water (Costs Column marked Non-Potable)</t>
  </si>
  <si>
    <t>Capacity Requirements (Needs) (mgd)</t>
  </si>
  <si>
    <t>Potable</t>
  </si>
  <si>
    <t>Non-Potable</t>
  </si>
  <si>
    <t>Current usage</t>
  </si>
  <si>
    <t>Future</t>
  </si>
  <si>
    <t>Growth</t>
  </si>
  <si>
    <t>Capacity</t>
  </si>
  <si>
    <t>Currently able to provide</t>
  </si>
  <si>
    <t>Available Capacity</t>
  </si>
  <si>
    <t>Percentage</t>
  </si>
  <si>
    <t>EDU Capacity Requirements</t>
  </si>
  <si>
    <t>MDD per EDU</t>
  </si>
  <si>
    <t>Capacity Reqts per Equivalent</t>
  </si>
  <si>
    <t>EDU Capacity Requirements  (meter equivalents)</t>
  </si>
  <si>
    <t>Current meters (FY2018-19)</t>
  </si>
  <si>
    <t>***</t>
  </si>
  <si>
    <t>3/4"</t>
  </si>
  <si>
    <t>1"</t>
  </si>
  <si>
    <t>1 1/4</t>
  </si>
  <si>
    <t>1 1/2"</t>
  </si>
  <si>
    <t>2"</t>
  </si>
  <si>
    <t>3"</t>
  </si>
  <si>
    <t>4"</t>
  </si>
  <si>
    <t>6"</t>
  </si>
  <si>
    <t>8"</t>
  </si>
  <si>
    <t>nonpotable</t>
  </si>
  <si>
    <t>*** factor for capacity of the meter in relation to the 3/4" meter</t>
  </si>
  <si>
    <t>Total</t>
  </si>
  <si>
    <t>Reimbursement Cost Basis (1)</t>
  </si>
  <si>
    <t>Growth Capacity Requirements (2)</t>
  </si>
  <si>
    <t>Unit Cost for Growth</t>
  </si>
  <si>
    <t>Capacity per EDU</t>
  </si>
  <si>
    <t>EDU=3/4" meter</t>
  </si>
  <si>
    <t>Reimbursement $/EDU</t>
  </si>
  <si>
    <t>Improvement Cost Basis (3)</t>
  </si>
  <si>
    <t>Improvement$/EDU</t>
  </si>
  <si>
    <t>Total Potable SDC for 3/4"</t>
  </si>
  <si>
    <t>Non Potable</t>
  </si>
  <si>
    <t>Unit Cost</t>
  </si>
  <si>
    <t>Total NonPotable SDC for 3/4"</t>
  </si>
  <si>
    <t>1 - From the Inventory of Current System</t>
  </si>
  <si>
    <t>2 - From the Planning Data</t>
  </si>
  <si>
    <t>3 - From the CIP List</t>
  </si>
  <si>
    <t>SFR</t>
  </si>
  <si>
    <t>POTABLE WATER</t>
  </si>
  <si>
    <t>Meter Size</t>
  </si>
  <si>
    <t>NONPOTABLE WATER</t>
  </si>
  <si>
    <t>Multiplier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</si>
</sst>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_(&quot;$&quot;* #,##0_);_(&quot;$&quot;* \(#,##0\);_(&quot;$&quot;* &quot;-&quot;??_);_(@_)"/>
    <numFmt numFmtId="166" formatCode="0.0%"/>
    <numFmt numFmtId="167" formatCode="&quot;$&quot;#,##0.00"/>
    <numFmt numFmtId="168" formatCode="0.0"/>
    <numFmt numFmtId="169" formatCode="_(* #,##0_);_(* \(#,##0\);_(* &quot;-&quot;??_);_(@_)"/>
  </numFmts>
  <fonts count="2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sz val="9"/>
      <name val="Arial"/>
      <family val="2"/>
    </font>
    <font>
      <sz val="9"/>
      <color rgb="FF7030A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i/>
      <sz val="11"/>
      <color rgb="FF7030A0"/>
      <name val="Aptos Narrow"/>
      <family val="2"/>
      <scheme val="minor"/>
    </font>
    <font>
      <i/>
      <sz val="8"/>
      <color rgb="FF7030A0"/>
      <name val="Arial Narrow"/>
      <family val="2"/>
    </font>
    <font>
      <b/>
      <sz val="9"/>
      <name val="Arial"/>
      <family val="2"/>
    </font>
    <font>
      <b/>
      <i/>
      <sz val="11"/>
      <color rgb="FF7030A0"/>
      <name val="Aptos Narrow"/>
      <family val="2"/>
      <scheme val="minor"/>
    </font>
    <font>
      <b/>
      <sz val="13"/>
      <color rgb="FFFF0000"/>
      <name val="Aptos Narrow"/>
      <family val="2"/>
      <scheme val="minor"/>
    </font>
    <font>
      <sz val="11"/>
      <name val="Aptos Narrow"/>
      <family val="2"/>
      <scheme val="minor"/>
    </font>
    <font>
      <i/>
      <sz val="11"/>
      <color rgb="FFFF0000"/>
      <name val="Aptos Narrow"/>
      <family val="2"/>
      <scheme val="minor"/>
    </font>
    <font>
      <b/>
      <i/>
      <sz val="11"/>
      <color rgb="FFFF0000"/>
      <name val="Aptos Narrow"/>
      <family val="2"/>
      <scheme val="minor"/>
    </font>
    <font>
      <i/>
      <sz val="9"/>
      <color rgb="FF7030A0"/>
      <name val="Arial"/>
      <family val="2"/>
    </font>
    <font>
      <b/>
      <sz val="11"/>
      <color rgb="FF7030A0"/>
      <name val="Arial"/>
      <family val="2"/>
    </font>
    <font>
      <sz val="9"/>
      <color indexed="12"/>
      <name val="Arial"/>
      <family val="2"/>
    </font>
    <font>
      <b/>
      <sz val="1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1" applyNumberFormat="0" applyFill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137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5" fillId="0" borderId="0" xfId="5" applyFont="1" applyAlignment="1">
      <alignment horizontal="left"/>
    </xf>
    <xf numFmtId="164" fontId="5" fillId="0" borderId="0" xfId="5" quotePrefix="1" applyNumberFormat="1" applyFont="1" applyAlignment="1">
      <alignment horizontal="center" vertical="center"/>
    </xf>
    <xf numFmtId="164" fontId="5" fillId="0" borderId="0" xfId="5" quotePrefix="1" applyNumberFormat="1" applyFont="1" applyAlignment="1">
      <alignment horizontal="right" vertical="center"/>
    </xf>
    <xf numFmtId="164" fontId="5" fillId="0" borderId="0" xfId="5" quotePrefix="1" applyNumberFormat="1" applyFont="1" applyAlignment="1">
      <alignment horizontal="right"/>
    </xf>
    <xf numFmtId="164" fontId="5" fillId="0" borderId="0" xfId="5" applyNumberFormat="1" applyFont="1" applyAlignment="1">
      <alignment horizontal="right"/>
    </xf>
    <xf numFmtId="0" fontId="5" fillId="0" borderId="0" xfId="5" applyFont="1" applyAlignment="1">
      <alignment horizontal="left" wrapText="1"/>
    </xf>
    <xf numFmtId="0" fontId="6" fillId="0" borderId="0" xfId="5" applyFont="1" applyAlignment="1">
      <alignment horizontal="left"/>
    </xf>
    <xf numFmtId="164" fontId="6" fillId="0" borderId="0" xfId="5" applyNumberFormat="1" applyFont="1" applyAlignment="1">
      <alignment horizontal="right" vertical="center"/>
    </xf>
    <xf numFmtId="0" fontId="5" fillId="0" borderId="0" xfId="5" applyFont="1" applyAlignment="1">
      <alignment wrapText="1"/>
    </xf>
    <xf numFmtId="164" fontId="5" fillId="0" borderId="0" xfId="5" applyNumberFormat="1" applyFont="1" applyAlignment="1">
      <alignment horizontal="center" vertical="center"/>
    </xf>
    <xf numFmtId="164" fontId="5" fillId="0" borderId="0" xfId="5" applyNumberFormat="1" applyFont="1" applyAlignment="1">
      <alignment horizontal="right" vertical="center"/>
    </xf>
    <xf numFmtId="0" fontId="5" fillId="0" borderId="0" xfId="5" quotePrefix="1" applyFont="1" applyAlignment="1">
      <alignment horizontal="center" vertical="center" wrapText="1"/>
    </xf>
    <xf numFmtId="0" fontId="5" fillId="2" borderId="0" xfId="5" applyFont="1" applyFill="1" applyAlignment="1">
      <alignment horizontal="left" wrapText="1"/>
    </xf>
    <xf numFmtId="0" fontId="5" fillId="2" borderId="0" xfId="5" applyFont="1" applyFill="1" applyAlignment="1">
      <alignment horizontal="center" vertical="center"/>
    </xf>
    <xf numFmtId="0" fontId="5" fillId="0" borderId="0" xfId="5" applyFont="1" applyAlignment="1">
      <alignment horizontal="left" wrapText="1" indent="1"/>
    </xf>
    <xf numFmtId="0" fontId="5" fillId="0" borderId="0" xfId="5" applyFont="1" applyAlignment="1">
      <alignment horizontal="center" vertical="center"/>
    </xf>
    <xf numFmtId="0" fontId="5" fillId="2" borderId="0" xfId="5" applyFont="1" applyFill="1" applyAlignment="1">
      <alignment horizontal="left" wrapText="1" indent="1"/>
    </xf>
    <xf numFmtId="0" fontId="5" fillId="0" borderId="0" xfId="5" quotePrefix="1" applyFont="1" applyAlignment="1">
      <alignment horizontal="center" vertical="center"/>
    </xf>
    <xf numFmtId="0" fontId="5" fillId="2" borderId="0" xfId="5" applyFont="1" applyFill="1" applyAlignment="1">
      <alignment horizontal="left"/>
    </xf>
    <xf numFmtId="0" fontId="5" fillId="2" borderId="0" xfId="5" quotePrefix="1" applyFont="1" applyFill="1" applyAlignment="1">
      <alignment horizontal="center" vertical="center"/>
    </xf>
    <xf numFmtId="164" fontId="5" fillId="2" borderId="0" xfId="5" quotePrefix="1" applyNumberFormat="1" applyFont="1" applyFill="1" applyAlignment="1">
      <alignment horizontal="right" vertical="center"/>
    </xf>
    <xf numFmtId="0" fontId="9" fillId="3" borderId="0" xfId="0" applyFont="1" applyFill="1" applyAlignment="1">
      <alignment horizontal="left" wrapText="1"/>
    </xf>
    <xf numFmtId="0" fontId="5" fillId="4" borderId="0" xfId="5" quotePrefix="1" applyFont="1" applyFill="1" applyAlignment="1">
      <alignment horizontal="center"/>
    </xf>
    <xf numFmtId="164" fontId="5" fillId="4" borderId="0" xfId="5" quotePrefix="1" applyNumberFormat="1" applyFont="1" applyFill="1" applyAlignment="1">
      <alignment horizontal="right"/>
    </xf>
    <xf numFmtId="164" fontId="5" fillId="4" borderId="0" xfId="5" applyNumberFormat="1" applyFont="1" applyFill="1" applyAlignment="1">
      <alignment horizontal="right"/>
    </xf>
    <xf numFmtId="0" fontId="5" fillId="5" borderId="0" xfId="5" applyFont="1" applyFill="1" applyAlignment="1">
      <alignment horizontal="left"/>
    </xf>
    <xf numFmtId="0" fontId="5" fillId="5" borderId="0" xfId="5" quotePrefix="1" applyFont="1" applyFill="1" applyAlignment="1">
      <alignment horizontal="center" vertical="center"/>
    </xf>
    <xf numFmtId="164" fontId="5" fillId="5" borderId="0" xfId="5" quotePrefix="1" applyNumberFormat="1" applyFont="1" applyFill="1" applyAlignment="1">
      <alignment horizontal="right" vertical="center"/>
    </xf>
    <xf numFmtId="164" fontId="5" fillId="5" borderId="0" xfId="5" quotePrefix="1" applyNumberFormat="1" applyFont="1" applyFill="1" applyAlignment="1">
      <alignment horizontal="right"/>
    </xf>
    <xf numFmtId="164" fontId="5" fillId="5" borderId="0" xfId="5" applyNumberFormat="1" applyFont="1" applyFill="1" applyAlignment="1">
      <alignment horizontal="right"/>
    </xf>
    <xf numFmtId="0" fontId="11" fillId="0" borderId="2" xfId="5" applyFont="1" applyBorder="1" applyAlignment="1">
      <alignment horizontal="left"/>
    </xf>
    <xf numFmtId="164" fontId="11" fillId="0" borderId="2" xfId="5" applyNumberFormat="1" applyFont="1" applyBorder="1" applyAlignment="1">
      <alignment horizontal="right" vertical="center"/>
    </xf>
    <xf numFmtId="49" fontId="11" fillId="0" borderId="0" xfId="5" applyNumberFormat="1" applyFont="1" applyAlignment="1">
      <alignment horizontal="left" vertical="center" wrapText="1"/>
    </xf>
    <xf numFmtId="0" fontId="5" fillId="0" borderId="0" xfId="6" applyFont="1"/>
    <xf numFmtId="0" fontId="5" fillId="0" borderId="0" xfId="5" applyFont="1"/>
    <xf numFmtId="164" fontId="5" fillId="0" borderId="0" xfId="5" applyNumberFormat="1" applyFont="1"/>
    <xf numFmtId="0" fontId="12" fillId="2" borderId="0" xfId="0" applyFont="1" applyFill="1"/>
    <xf numFmtId="0" fontId="0" fillId="6" borderId="0" xfId="0" applyFill="1"/>
    <xf numFmtId="165" fontId="0" fillId="6" borderId="0" xfId="2" applyNumberFormat="1" applyFont="1" applyFill="1"/>
    <xf numFmtId="166" fontId="5" fillId="0" borderId="0" xfId="7" applyNumberFormat="1" applyFont="1" applyFill="1" applyBorder="1" applyAlignment="1"/>
    <xf numFmtId="164" fontId="5" fillId="0" borderId="0" xfId="8" applyNumberFormat="1" applyFont="1" applyBorder="1" applyAlignment="1"/>
    <xf numFmtId="10" fontId="5" fillId="0" borderId="0" xfId="7" applyNumberFormat="1" applyFont="1" applyFill="1" applyAlignment="1"/>
    <xf numFmtId="9" fontId="5" fillId="0" borderId="0" xfId="7" applyFont="1" applyFill="1" applyBorder="1" applyAlignment="1"/>
    <xf numFmtId="9" fontId="5" fillId="4" borderId="0" xfId="7" applyFont="1" applyFill="1" applyBorder="1" applyAlignment="1"/>
    <xf numFmtId="9" fontId="5" fillId="5" borderId="0" xfId="7" applyFont="1" applyFill="1" applyBorder="1" applyAlignment="1"/>
    <xf numFmtId="164" fontId="5" fillId="5" borderId="0" xfId="8" applyNumberFormat="1" applyFont="1" applyFill="1" applyBorder="1" applyAlignment="1"/>
    <xf numFmtId="166" fontId="11" fillId="0" borderId="2" xfId="7" applyNumberFormat="1" applyFont="1" applyFill="1" applyBorder="1"/>
    <xf numFmtId="164" fontId="11" fillId="0" borderId="2" xfId="8" applyNumberFormat="1" applyFont="1" applyBorder="1"/>
    <xf numFmtId="9" fontId="5" fillId="0" borderId="0" xfId="7" applyFont="1" applyFill="1" applyBorder="1"/>
    <xf numFmtId="164" fontId="5" fillId="0" borderId="0" xfId="8" applyNumberFormat="1" applyFont="1" applyBorder="1"/>
    <xf numFmtId="164" fontId="5" fillId="0" borderId="0" xfId="8" applyNumberFormat="1" applyFont="1" applyFill="1" applyBorder="1"/>
    <xf numFmtId="9" fontId="5" fillId="0" borderId="2" xfId="7" applyFont="1" applyFill="1" applyBorder="1"/>
    <xf numFmtId="44" fontId="12" fillId="2" borderId="0" xfId="2" applyFont="1" applyFill="1"/>
    <xf numFmtId="167" fontId="0" fillId="0" borderId="0" xfId="0" applyNumberFormat="1"/>
    <xf numFmtId="9" fontId="0" fillId="6" borderId="0" xfId="3" applyFont="1" applyFill="1"/>
    <xf numFmtId="0" fontId="2" fillId="0" borderId="1" xfId="4" applyAlignment="1">
      <alignment horizontal="center" wrapText="1"/>
    </xf>
    <xf numFmtId="44" fontId="13" fillId="0" borderId="1" xfId="4" applyNumberFormat="1" applyFont="1" applyAlignment="1">
      <alignment horizontal="center" wrapText="1"/>
    </xf>
    <xf numFmtId="44" fontId="13" fillId="7" borderId="1" xfId="4" applyNumberFormat="1" applyFont="1" applyFill="1" applyAlignment="1">
      <alignment wrapText="1"/>
    </xf>
    <xf numFmtId="0" fontId="2" fillId="0" borderId="1" xfId="4" applyAlignment="1">
      <alignment wrapText="1"/>
    </xf>
    <xf numFmtId="0" fontId="0" fillId="0" borderId="0" xfId="0" applyAlignment="1">
      <alignment wrapText="1"/>
    </xf>
    <xf numFmtId="0" fontId="14" fillId="0" borderId="0" xfId="0" applyFont="1" applyAlignment="1">
      <alignment horizontal="left"/>
    </xf>
    <xf numFmtId="14" fontId="14" fillId="0" borderId="0" xfId="0" applyNumberFormat="1" applyFont="1" applyAlignment="1">
      <alignment horizontal="center"/>
    </xf>
    <xf numFmtId="44" fontId="0" fillId="0" borderId="0" xfId="8" applyNumberFormat="1" applyFont="1" applyFill="1" applyBorder="1"/>
    <xf numFmtId="44" fontId="5" fillId="0" borderId="0" xfId="0" applyNumberFormat="1" applyFont="1"/>
    <xf numFmtId="43" fontId="0" fillId="0" borderId="0" xfId="8" applyFont="1" applyFill="1" applyBorder="1"/>
    <xf numFmtId="43" fontId="5" fillId="0" borderId="0" xfId="0" applyNumberFormat="1" applyFont="1"/>
    <xf numFmtId="44" fontId="0" fillId="3" borderId="0" xfId="8" applyNumberFormat="1" applyFont="1" applyFill="1" applyBorder="1"/>
    <xf numFmtId="0" fontId="0" fillId="5" borderId="0" xfId="0" applyFill="1"/>
    <xf numFmtId="9" fontId="0" fillId="0" borderId="0" xfId="0" applyNumberFormat="1"/>
    <xf numFmtId="0" fontId="0" fillId="2" borderId="0" xfId="0" applyFill="1"/>
    <xf numFmtId="0" fontId="0" fillId="2" borderId="3" xfId="0" applyFill="1" applyBorder="1"/>
    <xf numFmtId="0" fontId="14" fillId="0" borderId="3" xfId="0" applyFont="1" applyBorder="1" applyAlignment="1">
      <alignment horizontal="left"/>
    </xf>
    <xf numFmtId="14" fontId="14" fillId="0" borderId="3" xfId="0" applyNumberFormat="1" applyFont="1" applyBorder="1" applyAlignment="1">
      <alignment horizontal="center"/>
    </xf>
    <xf numFmtId="44" fontId="0" fillId="0" borderId="3" xfId="8" applyNumberFormat="1" applyFont="1" applyFill="1" applyBorder="1"/>
    <xf numFmtId="43" fontId="0" fillId="0" borderId="3" xfId="8" applyFont="1" applyFill="1" applyBorder="1"/>
    <xf numFmtId="0" fontId="0" fillId="0" borderId="0" xfId="0" applyAlignment="1">
      <alignment horizontal="left"/>
    </xf>
    <xf numFmtId="14" fontId="0" fillId="0" borderId="0" xfId="0" applyNumberFormat="1" applyAlignment="1">
      <alignment horizontal="center"/>
    </xf>
    <xf numFmtId="0" fontId="0" fillId="0" borderId="3" xfId="0" applyBorder="1"/>
    <xf numFmtId="0" fontId="9" fillId="0" borderId="0" xfId="0" applyFont="1"/>
    <xf numFmtId="14" fontId="9" fillId="0" borderId="0" xfId="0" applyNumberFormat="1" applyFont="1" applyAlignment="1">
      <alignment horizontal="center"/>
    </xf>
    <xf numFmtId="44" fontId="9" fillId="0" borderId="0" xfId="8" applyNumberFormat="1" applyFont="1" applyFill="1" applyBorder="1"/>
    <xf numFmtId="44" fontId="9" fillId="0" borderId="0" xfId="2" applyFont="1"/>
    <xf numFmtId="43" fontId="9" fillId="0" borderId="0" xfId="8" applyFont="1" applyFill="1" applyBorder="1"/>
    <xf numFmtId="43" fontId="17" fillId="0" borderId="0" xfId="0" applyNumberFormat="1" applyFont="1"/>
    <xf numFmtId="14" fontId="9" fillId="0" borderId="0" xfId="0" applyNumberFormat="1" applyFont="1"/>
    <xf numFmtId="44" fontId="0" fillId="0" borderId="0" xfId="0" applyNumberFormat="1"/>
    <xf numFmtId="0" fontId="0" fillId="7" borderId="0" xfId="0" applyFill="1"/>
    <xf numFmtId="44" fontId="0" fillId="7" borderId="0" xfId="0" applyNumberFormat="1" applyFill="1"/>
    <xf numFmtId="44" fontId="18" fillId="0" borderId="0" xfId="0" applyNumberFormat="1" applyFont="1"/>
    <xf numFmtId="44" fontId="0" fillId="0" borderId="4" xfId="2" applyFont="1" applyBorder="1"/>
    <xf numFmtId="44" fontId="0" fillId="0" borderId="5" xfId="2" applyFont="1" applyBorder="1"/>
    <xf numFmtId="44" fontId="0" fillId="0" borderId="6" xfId="2" applyFont="1" applyBorder="1"/>
    <xf numFmtId="44" fontId="0" fillId="0" borderId="7" xfId="2" applyFont="1" applyBorder="1"/>
    <xf numFmtId="44" fontId="0" fillId="0" borderId="0" xfId="2" applyFont="1" applyBorder="1"/>
    <xf numFmtId="44" fontId="0" fillId="0" borderId="8" xfId="2" applyFont="1" applyBorder="1"/>
    <xf numFmtId="44" fontId="0" fillId="0" borderId="0" xfId="1" applyNumberFormat="1" applyFont="1"/>
    <xf numFmtId="0" fontId="0" fillId="0" borderId="0" xfId="0" applyAlignment="1">
      <alignment horizontal="right"/>
    </xf>
    <xf numFmtId="44" fontId="0" fillId="5" borderId="0" xfId="0" applyNumberFormat="1" applyFill="1"/>
    <xf numFmtId="44" fontId="0" fillId="0" borderId="9" xfId="2" applyFont="1" applyBorder="1"/>
    <xf numFmtId="44" fontId="0" fillId="0" borderId="10" xfId="2" applyFont="1" applyBorder="1"/>
    <xf numFmtId="44" fontId="0" fillId="0" borderId="11" xfId="2" applyFont="1" applyBorder="1"/>
    <xf numFmtId="0" fontId="0" fillId="0" borderId="0" xfId="0" applyAlignment="1">
      <alignment horizontal="center"/>
    </xf>
    <xf numFmtId="9" fontId="0" fillId="0" borderId="0" xfId="3" applyFont="1"/>
    <xf numFmtId="0" fontId="11" fillId="0" borderId="0" xfId="0" applyFont="1"/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/>
    <xf numFmtId="168" fontId="19" fillId="0" borderId="0" xfId="0" applyNumberFormat="1" applyFont="1" applyAlignment="1">
      <alignment horizontal="center"/>
    </xf>
    <xf numFmtId="169" fontId="5" fillId="0" borderId="0" xfId="1" applyNumberFormat="1" applyFont="1" applyAlignment="1">
      <alignment horizontal="right"/>
    </xf>
    <xf numFmtId="168" fontId="19" fillId="0" borderId="0" xfId="5" applyNumberFormat="1" applyFont="1" applyAlignment="1">
      <alignment horizontal="center"/>
    </xf>
    <xf numFmtId="12" fontId="5" fillId="0" borderId="0" xfId="0" quotePrefix="1" applyNumberFormat="1" applyFont="1"/>
    <xf numFmtId="0" fontId="5" fillId="0" borderId="12" xfId="0" applyFont="1" applyBorder="1"/>
    <xf numFmtId="0" fontId="5" fillId="0" borderId="12" xfId="0" applyFont="1" applyBorder="1" applyAlignment="1">
      <alignment horizontal="right"/>
    </xf>
    <xf numFmtId="1" fontId="5" fillId="0" borderId="12" xfId="0" applyNumberFormat="1" applyFont="1" applyBorder="1" applyAlignment="1">
      <alignment horizontal="right"/>
    </xf>
    <xf numFmtId="0" fontId="20" fillId="0" borderId="12" xfId="0" applyFont="1" applyBorder="1"/>
    <xf numFmtId="0" fontId="0" fillId="0" borderId="12" xfId="0" applyBorder="1"/>
    <xf numFmtId="44" fontId="3" fillId="0" borderId="0" xfId="2" applyFont="1" applyBorder="1"/>
    <xf numFmtId="0" fontId="21" fillId="0" borderId="0" xfId="0" applyFont="1"/>
    <xf numFmtId="44" fontId="21" fillId="0" borderId="0" xfId="0" applyNumberFormat="1" applyFont="1"/>
    <xf numFmtId="44" fontId="1" fillId="0" borderId="0" xfId="2" applyFont="1" applyBorder="1"/>
    <xf numFmtId="0" fontId="21" fillId="0" borderId="3" xfId="0" applyFont="1" applyBorder="1"/>
    <xf numFmtId="44" fontId="21" fillId="0" borderId="3" xfId="0" applyNumberFormat="1" applyFont="1" applyBorder="1"/>
    <xf numFmtId="0" fontId="22" fillId="0" borderId="0" xfId="0" applyFont="1" applyAlignment="1">
      <alignment horizontal="center"/>
    </xf>
    <xf numFmtId="0" fontId="22" fillId="0" borderId="0" xfId="0" applyFont="1"/>
    <xf numFmtId="0" fontId="22" fillId="0" borderId="3" xfId="0" applyFont="1" applyBorder="1"/>
    <xf numFmtId="0" fontId="20" fillId="0" borderId="13" xfId="0" applyFont="1" applyBorder="1" applyAlignment="1">
      <alignment horizontal="center"/>
    </xf>
    <xf numFmtId="0" fontId="20" fillId="0" borderId="14" xfId="0" applyFont="1" applyBorder="1" applyAlignment="1">
      <alignment horizontal="center"/>
    </xf>
    <xf numFmtId="0" fontId="20" fillId="0" borderId="15" xfId="0" applyFont="1" applyBorder="1" applyAlignment="1">
      <alignment horizontal="center"/>
    </xf>
    <xf numFmtId="0" fontId="20" fillId="0" borderId="16" xfId="0" applyFont="1" applyBorder="1" applyAlignment="1">
      <alignment horizontal="center"/>
    </xf>
    <xf numFmtId="0" fontId="0" fillId="0" borderId="17" xfId="0" applyBorder="1"/>
    <xf numFmtId="0" fontId="0" fillId="0" borderId="18" xfId="0" applyBorder="1"/>
    <xf numFmtId="0" fontId="5" fillId="0" borderId="19" xfId="0" applyFont="1" applyBorder="1" applyAlignment="1">
      <alignment horizontal="center"/>
    </xf>
    <xf numFmtId="44" fontId="0" fillId="8" borderId="19" xfId="0" applyNumberFormat="1" applyFill="1" applyBorder="1"/>
    <xf numFmtId="12" fontId="5" fillId="0" borderId="19" xfId="0" quotePrefix="1" applyNumberFormat="1" applyFont="1" applyBorder="1" applyAlignment="1">
      <alignment horizontal="center"/>
    </xf>
  </cellXfs>
  <cellStyles count="9">
    <cellStyle name="Comma" xfId="1" builtinId="3"/>
    <cellStyle name="Comma 2" xfId="8" xr:uid="{E6259BD2-93CE-4BAD-854C-BD61E681A21B}"/>
    <cellStyle name="Currency" xfId="2" builtinId="4"/>
    <cellStyle name="Heading 2" xfId="4" builtinId="17"/>
    <cellStyle name="Normal" xfId="0" builtinId="0"/>
    <cellStyle name="Normal 2" xfId="5" xr:uid="{C11450C1-22CB-45CB-929D-812E8CFC8CBD}"/>
    <cellStyle name="Normal_FinPlan5_7_02_r" xfId="6" xr:uid="{EFD71412-9820-496B-AAFE-F33BDBE8DFE2}"/>
    <cellStyle name="Percent" xfId="3" builtinId="5"/>
    <cellStyle name="Percent 2" xfId="7" xr:uid="{267FF849-E68B-4FA1-A566-82403091758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newbergoregon.sharepoint.com/sites/DaniandWillPMshare/Shared%20Documents/PM%20share/SDC/2026_WaterSDCModel-rev0p1.xlsx" TargetMode="External"/><Relationship Id="rId1" Type="http://schemas.openxmlformats.org/officeDocument/2006/relationships/externalLinkPath" Target="https://newbergoregon.sharepoint.com/sites/DaniandWillPMshare/Shared%20Documents/PM%20share/SDC/2026_WaterSDCModel-rev0p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DC Per Meter Size"/>
      <sheetName val="Charge Analysis"/>
      <sheetName val="Planning Data"/>
      <sheetName val="Inventory of Current System"/>
      <sheetName val="CIP List"/>
    </sheetNames>
    <sheetDataSet>
      <sheetData sheetId="0"/>
      <sheetData sheetId="1"/>
      <sheetData sheetId="2"/>
      <sheetData sheetId="3">
        <row r="251">
          <cell r="D251">
            <v>3546565.9</v>
          </cell>
        </row>
      </sheetData>
      <sheetData sheetId="4">
        <row r="50">
          <cell r="H50">
            <v>364581</v>
          </cell>
        </row>
      </sheetData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Danette Hilton" id="{A048C635-9A50-4FD4-B4F7-ACA5735B0422}" userId="S::hiltonda@newbergoregon.gov::ce501e7d-f0b3-4737-bd8f-77d6f02a3bc1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D243" dT="2025-10-30T22:58:49.94" personId="{A048C635-9A50-4FD4-B4F7-ACA5735B0422}" id="{256A11E3-51ED-4B4B-91AF-DA0779D1E5C8}">
    <text xml:space="preserve">Dear Council - we did not increase the inflation rate on Water SDC Model…. </text>
  </threadedComment>
</ThreadedComments>
</file>

<file path=xl/worksheets/_rels/sheet4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40E4BB-D351-4367-B0F1-C7CD1B3BF4AF}">
  <dimension ref="A2:V36"/>
  <sheetViews>
    <sheetView tabSelected="1" workbookViewId="0">
      <selection activeCell="E9" sqref="E9"/>
    </sheetView>
  </sheetViews>
  <sheetFormatPr defaultRowHeight="15" x14ac:dyDescent="0.25"/>
  <cols>
    <col min="1" max="2" width="22.42578125" customWidth="1"/>
  </cols>
  <sheetData>
    <row r="2" spans="1:2" x14ac:dyDescent="0.25">
      <c r="A2" s="128" t="s">
        <v>336</v>
      </c>
      <c r="B2" s="129"/>
    </row>
    <row r="3" spans="1:2" ht="15.75" thickBot="1" x14ac:dyDescent="0.3">
      <c r="A3" s="130"/>
      <c r="B3" s="131"/>
    </row>
    <row r="4" spans="1:2" x14ac:dyDescent="0.25">
      <c r="A4" s="132" t="s">
        <v>337</v>
      </c>
      <c r="B4" s="133"/>
    </row>
    <row r="5" spans="1:2" x14ac:dyDescent="0.25">
      <c r="A5" s="134" t="s">
        <v>308</v>
      </c>
      <c r="B5" s="135">
        <f>'Charge Analysis'!B20*F36</f>
        <v>9043.6183129118763</v>
      </c>
    </row>
    <row r="6" spans="1:2" x14ac:dyDescent="0.25">
      <c r="A6" s="134" t="s">
        <v>309</v>
      </c>
      <c r="B6" s="135">
        <f>B5*'Planning Data'!D35*F36</f>
        <v>15374.15113195019</v>
      </c>
    </row>
    <row r="7" spans="1:2" x14ac:dyDescent="0.25">
      <c r="A7" s="136" t="s">
        <v>310</v>
      </c>
      <c r="B7" s="135">
        <f>B5*'Planning Data'!D36*F36</f>
        <v>22609.045782279689</v>
      </c>
    </row>
    <row r="8" spans="1:2" x14ac:dyDescent="0.25">
      <c r="A8" s="134" t="s">
        <v>311</v>
      </c>
      <c r="B8" s="135">
        <f>B5*'Planning Data'!D37*F36</f>
        <v>29843.94043260919</v>
      </c>
    </row>
    <row r="9" spans="1:2" x14ac:dyDescent="0.25">
      <c r="A9" s="134" t="s">
        <v>312</v>
      </c>
      <c r="B9" s="135">
        <f>B5*'Planning Data'!D38*F36</f>
        <v>47931.177058432942</v>
      </c>
    </row>
    <row r="10" spans="1:2" x14ac:dyDescent="0.25">
      <c r="A10" s="134" t="s">
        <v>313</v>
      </c>
      <c r="B10" s="135">
        <f>B5*'Planning Data'!D39*F36</f>
        <v>90436.183129118755</v>
      </c>
    </row>
    <row r="11" spans="1:2" x14ac:dyDescent="0.25">
      <c r="A11" s="134" t="s">
        <v>314</v>
      </c>
      <c r="B11" s="135">
        <f>B5*'Planning Data'!D40*F36</f>
        <v>151028.42582562834</v>
      </c>
    </row>
    <row r="12" spans="1:2" x14ac:dyDescent="0.25">
      <c r="A12" s="134" t="s">
        <v>315</v>
      </c>
      <c r="B12" s="135">
        <f>B5*'Planning Data'!D41*F36</f>
        <v>298439.40432609193</v>
      </c>
    </row>
    <row r="13" spans="1:2" x14ac:dyDescent="0.25">
      <c r="A13" s="134" t="s">
        <v>316</v>
      </c>
      <c r="B13" s="135">
        <f>B5*'Planning Data'!D42*F36</f>
        <v>479311.77058432944</v>
      </c>
    </row>
    <row r="17" spans="1:22" x14ac:dyDescent="0.25">
      <c r="A17" s="128" t="s">
        <v>338</v>
      </c>
      <c r="B17" s="129"/>
    </row>
    <row r="18" spans="1:22" ht="15.75" thickBot="1" x14ac:dyDescent="0.3">
      <c r="A18" s="130"/>
      <c r="B18" s="131"/>
    </row>
    <row r="19" spans="1:22" x14ac:dyDescent="0.25">
      <c r="A19" s="132" t="s">
        <v>337</v>
      </c>
      <c r="B19" s="133"/>
    </row>
    <row r="20" spans="1:22" x14ac:dyDescent="0.25">
      <c r="A20" s="134" t="s">
        <v>308</v>
      </c>
      <c r="B20" s="135">
        <f>'Charge Analysis'!B41*F36</f>
        <v>4065.9993862808415</v>
      </c>
    </row>
    <row r="21" spans="1:22" x14ac:dyDescent="0.25">
      <c r="A21" s="134" t="s">
        <v>309</v>
      </c>
      <c r="B21" s="135">
        <f>B20*'Planning Data'!D35*F36</f>
        <v>6912.19895667743</v>
      </c>
    </row>
    <row r="22" spans="1:22" ht="18.75" x14ac:dyDescent="0.3">
      <c r="A22" s="136" t="s">
        <v>310</v>
      </c>
      <c r="B22" s="135">
        <f>B20*'Planning Data'!D36*F36</f>
        <v>10164.998465702103</v>
      </c>
      <c r="U22" s="125" t="s">
        <v>335</v>
      </c>
      <c r="V22" s="125" t="s">
        <v>335</v>
      </c>
    </row>
    <row r="23" spans="1:22" ht="18.75" x14ac:dyDescent="0.3">
      <c r="A23" s="134" t="s">
        <v>311</v>
      </c>
      <c r="B23" s="135">
        <f>B20*'Planning Data'!D37*F36</f>
        <v>13417.797974726776</v>
      </c>
      <c r="U23" s="126"/>
      <c r="V23" s="126"/>
    </row>
    <row r="24" spans="1:22" ht="18.75" x14ac:dyDescent="0.3">
      <c r="A24" s="134" t="s">
        <v>312</v>
      </c>
      <c r="B24" s="135">
        <f>B20*'Planning Data'!D38*F36</f>
        <v>21549.796747288459</v>
      </c>
      <c r="U24" s="126">
        <v>8822.0400000000009</v>
      </c>
      <c r="V24" s="126">
        <v>5695</v>
      </c>
    </row>
    <row r="25" spans="1:22" ht="18.75" x14ac:dyDescent="0.3">
      <c r="A25" s="134" t="s">
        <v>313</v>
      </c>
      <c r="B25" s="135">
        <f>B20*'Planning Data'!D39*F36</f>
        <v>40659.993862808413</v>
      </c>
      <c r="U25" s="126">
        <v>7120.47</v>
      </c>
      <c r="V25" s="126">
        <v>8367</v>
      </c>
    </row>
    <row r="26" spans="1:22" ht="18.75" x14ac:dyDescent="0.3">
      <c r="A26" s="134" t="s">
        <v>314</v>
      </c>
      <c r="B26" s="135">
        <f>B20*'Planning Data'!D40*F36</f>
        <v>67902.189750890044</v>
      </c>
      <c r="U26" s="126">
        <v>484.3</v>
      </c>
      <c r="V26" s="126">
        <v>621.34</v>
      </c>
    </row>
    <row r="27" spans="1:22" ht="18.75" x14ac:dyDescent="0.3">
      <c r="A27" s="134" t="s">
        <v>315</v>
      </c>
      <c r="B27" s="135">
        <f>B20*'Planning Data'!D41*F36</f>
        <v>134177.97974726776</v>
      </c>
      <c r="U27" s="127">
        <v>8400</v>
      </c>
      <c r="V27" s="127">
        <v>6700</v>
      </c>
    </row>
    <row r="28" spans="1:22" ht="18.75" x14ac:dyDescent="0.3">
      <c r="A28" s="134" t="s">
        <v>316</v>
      </c>
      <c r="B28" s="135">
        <f>B20*'Planning Data'!D42*F36</f>
        <v>215497.9674728846</v>
      </c>
      <c r="U28" s="126">
        <f>SUM(U24:U27)</f>
        <v>24826.81</v>
      </c>
      <c r="V28" s="126">
        <f>SUM(V24:V27)</f>
        <v>21383.34</v>
      </c>
    </row>
    <row r="36" spans="5:6" x14ac:dyDescent="0.25">
      <c r="E36" t="s">
        <v>339</v>
      </c>
      <c r="F36">
        <v>1</v>
      </c>
    </row>
  </sheetData>
  <sheetProtection algorithmName="SHA-512" hashValue="vykHKr/lIKLNBN3GLjE8eY/8yWHILjjBgBQX0S3spfrNl31o6cmGIzAGBSp7aZI2DtESWCBRVlACsykcwC7mZA==" saltValue="LmXZ+LrbNrj+GL/XgbaNtw==" spinCount="100000" sheet="1" objects="1" scenarios="1" selectLockedCells="1"/>
  <mergeCells count="2">
    <mergeCell ref="A2:B3"/>
    <mergeCell ref="A17:B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54706D-0954-4365-9FBA-452EE85BFC54}">
  <dimension ref="A1:B45"/>
  <sheetViews>
    <sheetView workbookViewId="0"/>
  </sheetViews>
  <sheetFormatPr defaultRowHeight="15" x14ac:dyDescent="0.25"/>
  <cols>
    <col min="1" max="1" width="46.85546875" customWidth="1"/>
    <col min="2" max="2" width="18.28515625" customWidth="1"/>
  </cols>
  <sheetData>
    <row r="1" spans="1:2" ht="18.75" x14ac:dyDescent="0.3">
      <c r="A1" s="117" t="s">
        <v>293</v>
      </c>
      <c r="B1" s="118"/>
    </row>
    <row r="2" spans="1:2" x14ac:dyDescent="0.25">
      <c r="B2" t="s">
        <v>319</v>
      </c>
    </row>
    <row r="3" spans="1:2" x14ac:dyDescent="0.25">
      <c r="A3" t="s">
        <v>320</v>
      </c>
      <c r="B3" s="96">
        <f>'Inventory of Current System'!D243</f>
        <v>32492008.898000017</v>
      </c>
    </row>
    <row r="4" spans="1:2" x14ac:dyDescent="0.25">
      <c r="A4" t="s">
        <v>321</v>
      </c>
      <c r="B4">
        <f>'Planning Data'!B8</f>
        <v>4.6099999999999994</v>
      </c>
    </row>
    <row r="5" spans="1:2" x14ac:dyDescent="0.25">
      <c r="A5" t="s">
        <v>322</v>
      </c>
      <c r="B5" s="96">
        <f>B3/B4</f>
        <v>7048158.11236443</v>
      </c>
    </row>
    <row r="8" spans="1:2" x14ac:dyDescent="0.25">
      <c r="A8" t="s">
        <v>323</v>
      </c>
      <c r="B8">
        <f>'Planning Data'!B24</f>
        <v>5.3489284313375891E-4</v>
      </c>
    </row>
    <row r="9" spans="1:2" x14ac:dyDescent="0.25">
      <c r="A9" t="s">
        <v>324</v>
      </c>
    </row>
    <row r="10" spans="1:2" x14ac:dyDescent="0.25">
      <c r="A10" s="1" t="s">
        <v>325</v>
      </c>
      <c r="B10" s="119">
        <f>B8*B5</f>
        <v>3770.0093315788772</v>
      </c>
    </row>
    <row r="15" spans="1:2" x14ac:dyDescent="0.25">
      <c r="A15" t="s">
        <v>326</v>
      </c>
      <c r="B15" s="96">
        <f>CIP!G45+CIP!G47</f>
        <v>45450855.654588863</v>
      </c>
    </row>
    <row r="16" spans="1:2" x14ac:dyDescent="0.25">
      <c r="A16" t="s">
        <v>321</v>
      </c>
      <c r="B16">
        <f>B4</f>
        <v>4.6099999999999994</v>
      </c>
    </row>
    <row r="17" spans="1:2" x14ac:dyDescent="0.25">
      <c r="A17" t="s">
        <v>322</v>
      </c>
      <c r="B17" s="96">
        <f>B15/B16</f>
        <v>9859187.7775680851</v>
      </c>
    </row>
    <row r="18" spans="1:2" x14ac:dyDescent="0.25">
      <c r="A18" s="1" t="s">
        <v>327</v>
      </c>
      <c r="B18" s="119">
        <f>B17*B8</f>
        <v>5273.6089813329991</v>
      </c>
    </row>
    <row r="19" spans="1:2" x14ac:dyDescent="0.25">
      <c r="B19" s="119"/>
    </row>
    <row r="20" spans="1:2" ht="15.75" x14ac:dyDescent="0.25">
      <c r="A20" s="120" t="s">
        <v>328</v>
      </c>
      <c r="B20" s="121">
        <f>B10+B18</f>
        <v>9043.6183129118763</v>
      </c>
    </row>
    <row r="23" spans="1:2" ht="18.75" x14ac:dyDescent="0.3">
      <c r="A23" s="117" t="s">
        <v>329</v>
      </c>
      <c r="B23" s="118"/>
    </row>
    <row r="25" spans="1:2" x14ac:dyDescent="0.25">
      <c r="B25" t="s">
        <v>319</v>
      </c>
    </row>
    <row r="26" spans="1:2" x14ac:dyDescent="0.25">
      <c r="A26" t="s">
        <v>320</v>
      </c>
      <c r="B26" s="96">
        <f>'[1]Inventory of Current System'!D251</f>
        <v>3546565.9</v>
      </c>
    </row>
    <row r="27" spans="1:2" x14ac:dyDescent="0.25">
      <c r="A27" t="s">
        <v>321</v>
      </c>
      <c r="B27">
        <f>'Planning Data'!C8</f>
        <v>0.76000000000000034</v>
      </c>
    </row>
    <row r="28" spans="1:2" x14ac:dyDescent="0.25">
      <c r="A28" t="s">
        <v>330</v>
      </c>
      <c r="B28" s="96">
        <f>B26/B27</f>
        <v>4666534.0789473662</v>
      </c>
    </row>
    <row r="31" spans="1:2" x14ac:dyDescent="0.25">
      <c r="A31" t="s">
        <v>323</v>
      </c>
      <c r="B31">
        <v>5.4677935075895352E-4</v>
      </c>
    </row>
    <row r="33" spans="1:2" x14ac:dyDescent="0.25">
      <c r="A33" s="1" t="s">
        <v>325</v>
      </c>
      <c r="B33" s="119">
        <f>B31*B28</f>
        <v>2551.564473981372</v>
      </c>
    </row>
    <row r="36" spans="1:2" x14ac:dyDescent="0.25">
      <c r="A36" t="s">
        <v>326</v>
      </c>
      <c r="B36" s="122">
        <v>2105000</v>
      </c>
    </row>
    <row r="37" spans="1:2" x14ac:dyDescent="0.25">
      <c r="A37" t="s">
        <v>321</v>
      </c>
      <c r="B37">
        <f>B27</f>
        <v>0.76000000000000034</v>
      </c>
    </row>
    <row r="38" spans="1:2" x14ac:dyDescent="0.25">
      <c r="A38" t="s">
        <v>322</v>
      </c>
      <c r="B38" s="96">
        <f>B36/B37</f>
        <v>2769736.842105262</v>
      </c>
    </row>
    <row r="39" spans="1:2" x14ac:dyDescent="0.25">
      <c r="A39" s="1" t="s">
        <v>327</v>
      </c>
      <c r="B39" s="119">
        <f>B38*B31</f>
        <v>1514.4349122994693</v>
      </c>
    </row>
    <row r="41" spans="1:2" ht="15.75" x14ac:dyDescent="0.25">
      <c r="A41" s="123" t="s">
        <v>331</v>
      </c>
      <c r="B41" s="124">
        <f>B33+B39</f>
        <v>4065.9993862808415</v>
      </c>
    </row>
    <row r="43" spans="1:2" x14ac:dyDescent="0.25">
      <c r="A43" t="s">
        <v>332</v>
      </c>
    </row>
    <row r="44" spans="1:2" x14ac:dyDescent="0.25">
      <c r="A44" t="s">
        <v>333</v>
      </c>
    </row>
    <row r="45" spans="1:2" x14ac:dyDescent="0.25">
      <c r="A45" t="s">
        <v>334</v>
      </c>
    </row>
  </sheetData>
  <sheetProtection algorithmName="SHA-512" hashValue="dgCQCwL3cJnZLCTSg2YIceDAQsZ9UXwvPTh1K9991Q5k15REWrzKDbW7vi5PhMJ14Qbb0OtKBG5me4WvcgC6qA==" saltValue="5hPk98KAnp+USm8CRzrBtQ==" spinCount="100000" sheet="1" objects="1" scenarios="1" selectLockedCell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00255C-69CB-4417-839D-643FA343738E}">
  <dimension ref="A1:F45"/>
  <sheetViews>
    <sheetView workbookViewId="0">
      <selection activeCell="B8" sqref="B8"/>
    </sheetView>
  </sheetViews>
  <sheetFormatPr defaultRowHeight="15" x14ac:dyDescent="0.25"/>
  <cols>
    <col min="1" max="1" width="36.42578125" bestFit="1" customWidth="1"/>
    <col min="2" max="2" width="14.140625" customWidth="1"/>
    <col min="3" max="3" width="19.42578125" customWidth="1"/>
  </cols>
  <sheetData>
    <row r="1" spans="1:3" x14ac:dyDescent="0.25">
      <c r="A1" s="1" t="s">
        <v>292</v>
      </c>
    </row>
    <row r="3" spans="1:3" x14ac:dyDescent="0.25">
      <c r="B3" s="104" t="s">
        <v>293</v>
      </c>
      <c r="C3" s="104" t="s">
        <v>294</v>
      </c>
    </row>
    <row r="4" spans="1:3" x14ac:dyDescent="0.25">
      <c r="A4" t="s">
        <v>295</v>
      </c>
      <c r="B4">
        <v>4.5</v>
      </c>
      <c r="C4">
        <v>0.6</v>
      </c>
    </row>
    <row r="6" spans="1:3" x14ac:dyDescent="0.25">
      <c r="A6" t="s">
        <v>296</v>
      </c>
      <c r="B6">
        <v>9.11</v>
      </c>
      <c r="C6">
        <f>0.6+0.12+0.34+0.01+0.06+0.13+0.1</f>
        <v>1.3600000000000003</v>
      </c>
    </row>
    <row r="8" spans="1:3" x14ac:dyDescent="0.25">
      <c r="A8" t="s">
        <v>297</v>
      </c>
      <c r="B8">
        <f>B6-B4</f>
        <v>4.6099999999999994</v>
      </c>
      <c r="C8">
        <f>C6-C4</f>
        <v>0.76000000000000034</v>
      </c>
    </row>
    <row r="11" spans="1:3" x14ac:dyDescent="0.25">
      <c r="A11" s="1" t="s">
        <v>298</v>
      </c>
    </row>
    <row r="13" spans="1:3" x14ac:dyDescent="0.25">
      <c r="A13" t="s">
        <v>299</v>
      </c>
      <c r="B13">
        <v>8</v>
      </c>
      <c r="C13">
        <f>1.18</f>
        <v>1.18</v>
      </c>
    </row>
    <row r="15" spans="1:3" x14ac:dyDescent="0.25">
      <c r="A15" t="s">
        <v>300</v>
      </c>
      <c r="B15">
        <f>B13-B4</f>
        <v>3.5</v>
      </c>
      <c r="C15">
        <f>C13-C4</f>
        <v>0.57999999999999996</v>
      </c>
    </row>
    <row r="16" spans="1:3" x14ac:dyDescent="0.25">
      <c r="A16" t="s">
        <v>301</v>
      </c>
      <c r="B16" s="105">
        <f>B15/B13</f>
        <v>0.4375</v>
      </c>
      <c r="C16" s="105">
        <f>C15/C13</f>
        <v>0.49152542372881353</v>
      </c>
    </row>
    <row r="21" spans="1:6" x14ac:dyDescent="0.25">
      <c r="A21" s="1" t="s">
        <v>302</v>
      </c>
    </row>
    <row r="23" spans="1:6" x14ac:dyDescent="0.25">
      <c r="A23" t="s">
        <v>303</v>
      </c>
      <c r="B23">
        <f>B4*1000000/E43</f>
        <v>534.8928431337589</v>
      </c>
    </row>
    <row r="24" spans="1:6" x14ac:dyDescent="0.25">
      <c r="A24" t="s">
        <v>304</v>
      </c>
      <c r="B24">
        <f>B23/1000000</f>
        <v>5.3489284313375891E-4</v>
      </c>
    </row>
    <row r="32" spans="1:6" x14ac:dyDescent="0.25">
      <c r="A32" s="106" t="s">
        <v>305</v>
      </c>
      <c r="B32" s="107"/>
      <c r="C32" s="108" t="s">
        <v>306</v>
      </c>
      <c r="D32" s="107"/>
      <c r="E32" s="107"/>
      <c r="F32" s="109"/>
    </row>
    <row r="33" spans="1:6" x14ac:dyDescent="0.25">
      <c r="A33" s="109"/>
      <c r="B33" s="107"/>
      <c r="C33" s="107"/>
      <c r="D33" s="110" t="s">
        <v>307</v>
      </c>
      <c r="E33" s="107"/>
      <c r="F33" s="107"/>
    </row>
    <row r="34" spans="1:6" x14ac:dyDescent="0.25">
      <c r="A34" s="109" t="s">
        <v>308</v>
      </c>
      <c r="B34" s="107"/>
      <c r="C34" s="111">
        <v>6508</v>
      </c>
      <c r="D34" s="112">
        <v>1</v>
      </c>
      <c r="E34" s="111">
        <f t="shared" ref="E34:E42" si="0">C34*D34</f>
        <v>6508</v>
      </c>
      <c r="F34" s="108"/>
    </row>
    <row r="35" spans="1:6" x14ac:dyDescent="0.25">
      <c r="A35" s="109" t="s">
        <v>309</v>
      </c>
      <c r="B35" s="107"/>
      <c r="C35" s="111">
        <v>211</v>
      </c>
      <c r="D35" s="110">
        <v>1.7</v>
      </c>
      <c r="E35" s="111">
        <f t="shared" si="0"/>
        <v>358.7</v>
      </c>
      <c r="F35" s="107"/>
    </row>
    <row r="36" spans="1:6" x14ac:dyDescent="0.25">
      <c r="A36" s="113" t="s">
        <v>310</v>
      </c>
      <c r="B36" s="107"/>
      <c r="C36" s="111">
        <v>0</v>
      </c>
      <c r="D36" s="110">
        <f>(D37-D35)/2+D35</f>
        <v>2.5</v>
      </c>
      <c r="E36" s="111">
        <f t="shared" si="0"/>
        <v>0</v>
      </c>
      <c r="F36" s="107"/>
    </row>
    <row r="37" spans="1:6" x14ac:dyDescent="0.25">
      <c r="A37" s="109" t="s">
        <v>311</v>
      </c>
      <c r="B37" s="107"/>
      <c r="C37" s="111">
        <v>90</v>
      </c>
      <c r="D37" s="110">
        <v>3.3</v>
      </c>
      <c r="E37" s="111">
        <f t="shared" si="0"/>
        <v>297</v>
      </c>
      <c r="F37" s="107"/>
    </row>
    <row r="38" spans="1:6" x14ac:dyDescent="0.25">
      <c r="A38" s="109" t="s">
        <v>312</v>
      </c>
      <c r="B38" s="107"/>
      <c r="C38" s="111">
        <v>123</v>
      </c>
      <c r="D38" s="110">
        <v>5.3</v>
      </c>
      <c r="E38" s="111">
        <f t="shared" si="0"/>
        <v>651.9</v>
      </c>
      <c r="F38" s="107"/>
    </row>
    <row r="39" spans="1:6" x14ac:dyDescent="0.25">
      <c r="A39" s="109" t="s">
        <v>313</v>
      </c>
      <c r="B39" s="107"/>
      <c r="C39" s="111">
        <v>28</v>
      </c>
      <c r="D39" s="110">
        <v>10</v>
      </c>
      <c r="E39" s="111">
        <f t="shared" si="0"/>
        <v>280</v>
      </c>
      <c r="F39" s="107"/>
    </row>
    <row r="40" spans="1:6" x14ac:dyDescent="0.25">
      <c r="A40" s="109" t="s">
        <v>314</v>
      </c>
      <c r="B40" s="107"/>
      <c r="C40" s="111">
        <v>19</v>
      </c>
      <c r="D40" s="110">
        <v>16.7</v>
      </c>
      <c r="E40" s="111">
        <f t="shared" si="0"/>
        <v>317.3</v>
      </c>
      <c r="F40" s="108"/>
    </row>
    <row r="41" spans="1:6" x14ac:dyDescent="0.25">
      <c r="A41" s="109" t="s">
        <v>315</v>
      </c>
      <c r="B41" s="107"/>
      <c r="C41" s="111">
        <v>0</v>
      </c>
      <c r="D41" s="110">
        <v>33</v>
      </c>
      <c r="E41" s="111">
        <f t="shared" si="0"/>
        <v>0</v>
      </c>
      <c r="F41" s="107"/>
    </row>
    <row r="42" spans="1:6" x14ac:dyDescent="0.25">
      <c r="A42" s="109" t="s">
        <v>316</v>
      </c>
      <c r="B42" s="107"/>
      <c r="C42" s="111">
        <v>1</v>
      </c>
      <c r="D42" s="110">
        <v>53</v>
      </c>
      <c r="E42" s="111">
        <f t="shared" si="0"/>
        <v>53</v>
      </c>
      <c r="F42" s="108" t="s">
        <v>317</v>
      </c>
    </row>
    <row r="43" spans="1:6" x14ac:dyDescent="0.25">
      <c r="A43" s="114"/>
      <c r="B43" s="115"/>
      <c r="C43" s="115">
        <f>SUM(C34:C41)</f>
        <v>6979</v>
      </c>
      <c r="D43" s="115"/>
      <c r="E43" s="116">
        <f>SUM(E34:E42)-E42</f>
        <v>8412.9</v>
      </c>
      <c r="F43" s="107"/>
    </row>
    <row r="45" spans="1:6" x14ac:dyDescent="0.25">
      <c r="A45" s="109" t="s">
        <v>318</v>
      </c>
    </row>
  </sheetData>
  <sheetProtection algorithmName="SHA-512" hashValue="4ImmSStmY72rdhWf6UYWGH1KGuvPFaqAUZvX5l7nQzBk6P9DuthwABn7wvQJeVsfG0zNk6S5cwZdPStGN0FR7w==" saltValue="5w0kI+FKDXvgNvcxn5pU4Q==" spinCount="100000" sheet="1" objects="1" scenarios="1" selectLockedCells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EC87F0-9E50-48DD-81DE-8B742B1CA458}">
  <dimension ref="A1:K252"/>
  <sheetViews>
    <sheetView topLeftCell="A214" workbookViewId="0">
      <selection activeCell="N242" sqref="N242"/>
    </sheetView>
  </sheetViews>
  <sheetFormatPr defaultRowHeight="15" x14ac:dyDescent="0.25"/>
  <cols>
    <col min="1" max="1" width="16.85546875" customWidth="1"/>
    <col min="2" max="2" width="18.7109375" customWidth="1"/>
    <col min="3" max="3" width="16.42578125" customWidth="1"/>
    <col min="4" max="4" width="16.7109375" customWidth="1"/>
    <col min="5" max="5" width="16" customWidth="1"/>
    <col min="6" max="6" width="17.28515625" customWidth="1"/>
    <col min="7" max="7" width="17" customWidth="1"/>
    <col min="8" max="8" width="14.85546875" customWidth="1"/>
    <col min="9" max="9" width="15.140625" customWidth="1"/>
    <col min="10" max="10" width="22.42578125" customWidth="1"/>
  </cols>
  <sheetData>
    <row r="1" spans="1:11" ht="87" thickBot="1" x14ac:dyDescent="0.35">
      <c r="A1" s="58" t="s">
        <v>49</v>
      </c>
      <c r="B1" s="58" t="s">
        <v>50</v>
      </c>
      <c r="C1" s="58" t="s">
        <v>51</v>
      </c>
      <c r="D1" s="59" t="s">
        <v>52</v>
      </c>
      <c r="E1" s="59" t="s">
        <v>53</v>
      </c>
      <c r="F1" s="60" t="s">
        <v>54</v>
      </c>
      <c r="G1" s="58" t="s">
        <v>55</v>
      </c>
      <c r="H1" s="58" t="s">
        <v>56</v>
      </c>
      <c r="I1" s="58" t="s">
        <v>57</v>
      </c>
      <c r="J1" s="61" t="s">
        <v>58</v>
      </c>
      <c r="K1" s="62"/>
    </row>
    <row r="2" spans="1:11" ht="15.75" thickTop="1" x14ac:dyDescent="0.25">
      <c r="A2" t="s">
        <v>59</v>
      </c>
      <c r="B2" s="63" t="s">
        <v>60</v>
      </c>
      <c r="C2" s="64">
        <v>25933</v>
      </c>
      <c r="D2" s="65">
        <v>8000</v>
      </c>
      <c r="E2" s="65">
        <v>0</v>
      </c>
      <c r="F2" s="66">
        <f t="shared" ref="F2:F36" si="0">+D2-E2</f>
        <v>8000</v>
      </c>
      <c r="I2" s="67">
        <v>0</v>
      </c>
      <c r="J2" s="68">
        <v>8000</v>
      </c>
    </row>
    <row r="3" spans="1:11" x14ac:dyDescent="0.25">
      <c r="A3" t="s">
        <v>59</v>
      </c>
      <c r="B3" s="63" t="s">
        <v>61</v>
      </c>
      <c r="C3" s="64">
        <v>17898</v>
      </c>
      <c r="D3" s="65">
        <v>500</v>
      </c>
      <c r="E3" s="65">
        <v>0</v>
      </c>
      <c r="F3" s="66">
        <f t="shared" si="0"/>
        <v>500</v>
      </c>
      <c r="I3" s="67">
        <v>0</v>
      </c>
      <c r="J3" s="68">
        <v>500</v>
      </c>
    </row>
    <row r="4" spans="1:11" x14ac:dyDescent="0.25">
      <c r="A4" t="s">
        <v>59</v>
      </c>
      <c r="B4" s="63" t="s">
        <v>62</v>
      </c>
      <c r="C4" s="64">
        <v>9132</v>
      </c>
      <c r="D4" s="65">
        <v>4000</v>
      </c>
      <c r="E4" s="65">
        <v>0</v>
      </c>
      <c r="F4" s="66">
        <f t="shared" si="0"/>
        <v>4000</v>
      </c>
      <c r="I4" s="67">
        <v>0</v>
      </c>
      <c r="J4" s="68">
        <v>4000</v>
      </c>
    </row>
    <row r="5" spans="1:11" x14ac:dyDescent="0.25">
      <c r="A5" t="s">
        <v>59</v>
      </c>
      <c r="B5" s="63" t="s">
        <v>63</v>
      </c>
      <c r="C5" s="64">
        <v>25203</v>
      </c>
      <c r="D5" s="69">
        <v>10261</v>
      </c>
      <c r="E5" s="65">
        <v>0</v>
      </c>
      <c r="F5" s="66">
        <f t="shared" si="0"/>
        <v>10261</v>
      </c>
      <c r="G5" s="70" t="s">
        <v>55</v>
      </c>
      <c r="H5" s="71">
        <v>1</v>
      </c>
      <c r="I5" s="67">
        <v>0</v>
      </c>
      <c r="J5" s="68">
        <v>10261</v>
      </c>
    </row>
    <row r="6" spans="1:11" x14ac:dyDescent="0.25">
      <c r="A6" t="s">
        <v>59</v>
      </c>
      <c r="B6" s="63" t="s">
        <v>64</v>
      </c>
      <c r="C6" s="64">
        <v>15372</v>
      </c>
      <c r="D6" s="65">
        <v>2000</v>
      </c>
      <c r="E6" s="65">
        <v>0</v>
      </c>
      <c r="F6" s="66">
        <f t="shared" si="0"/>
        <v>2000</v>
      </c>
      <c r="I6" s="67">
        <v>0</v>
      </c>
      <c r="J6" s="68">
        <v>2000</v>
      </c>
    </row>
    <row r="7" spans="1:11" x14ac:dyDescent="0.25">
      <c r="A7" t="s">
        <v>59</v>
      </c>
      <c r="B7" s="63" t="s">
        <v>65</v>
      </c>
      <c r="C7" s="64">
        <v>18628</v>
      </c>
      <c r="D7" s="65">
        <v>1450</v>
      </c>
      <c r="E7" s="65">
        <v>0</v>
      </c>
      <c r="F7" s="66">
        <f t="shared" si="0"/>
        <v>1450</v>
      </c>
      <c r="I7" s="67">
        <v>0</v>
      </c>
      <c r="J7" s="68">
        <v>1450</v>
      </c>
    </row>
    <row r="8" spans="1:11" x14ac:dyDescent="0.25">
      <c r="A8" t="s">
        <v>59</v>
      </c>
      <c r="B8" s="63" t="s">
        <v>66</v>
      </c>
      <c r="C8" s="64">
        <v>21915</v>
      </c>
      <c r="D8" s="65">
        <v>450</v>
      </c>
      <c r="E8" s="65">
        <v>0</v>
      </c>
      <c r="F8" s="66">
        <f t="shared" si="0"/>
        <v>450</v>
      </c>
      <c r="I8" s="67">
        <v>0</v>
      </c>
      <c r="J8" s="68">
        <v>450</v>
      </c>
    </row>
    <row r="9" spans="1:11" x14ac:dyDescent="0.25">
      <c r="A9" t="s">
        <v>67</v>
      </c>
      <c r="B9" s="63" t="s">
        <v>68</v>
      </c>
      <c r="C9" s="64">
        <v>25933</v>
      </c>
      <c r="D9" s="65">
        <v>22997</v>
      </c>
      <c r="E9" s="65">
        <v>22997</v>
      </c>
      <c r="F9" s="66">
        <f t="shared" si="0"/>
        <v>0</v>
      </c>
      <c r="I9" s="67">
        <v>22997</v>
      </c>
      <c r="J9" s="68">
        <v>0</v>
      </c>
    </row>
    <row r="10" spans="1:11" x14ac:dyDescent="0.25">
      <c r="A10" t="s">
        <v>67</v>
      </c>
      <c r="B10" s="63" t="s">
        <v>69</v>
      </c>
      <c r="C10" s="64">
        <v>29951</v>
      </c>
      <c r="D10" s="65">
        <v>3214.56</v>
      </c>
      <c r="E10" s="65">
        <v>3214.56</v>
      </c>
      <c r="F10" s="66">
        <f t="shared" si="0"/>
        <v>0</v>
      </c>
      <c r="I10" s="67">
        <v>3214.56</v>
      </c>
      <c r="J10" s="68">
        <v>0</v>
      </c>
    </row>
    <row r="11" spans="1:11" x14ac:dyDescent="0.25">
      <c r="A11" t="s">
        <v>67</v>
      </c>
      <c r="B11" s="63" t="s">
        <v>70</v>
      </c>
      <c r="C11" s="64">
        <v>33238</v>
      </c>
      <c r="D11" s="65">
        <v>320</v>
      </c>
      <c r="E11" s="65">
        <v>320</v>
      </c>
      <c r="F11" s="66">
        <f t="shared" si="0"/>
        <v>0</v>
      </c>
      <c r="I11" s="67">
        <v>320</v>
      </c>
      <c r="J11" s="68">
        <v>0</v>
      </c>
    </row>
    <row r="12" spans="1:11" x14ac:dyDescent="0.25">
      <c r="A12" t="s">
        <v>67</v>
      </c>
      <c r="B12" s="63" t="s">
        <v>71</v>
      </c>
      <c r="C12" s="64">
        <v>25933</v>
      </c>
      <c r="D12" s="65">
        <v>12818</v>
      </c>
      <c r="E12" s="65">
        <v>12818</v>
      </c>
      <c r="F12" s="66">
        <f t="shared" si="0"/>
        <v>0</v>
      </c>
      <c r="I12" s="67">
        <v>12818</v>
      </c>
      <c r="J12" s="68">
        <v>0</v>
      </c>
    </row>
    <row r="13" spans="1:11" x14ac:dyDescent="0.25">
      <c r="A13" t="s">
        <v>67</v>
      </c>
      <c r="B13" s="63" t="s">
        <v>72</v>
      </c>
      <c r="C13" s="64">
        <v>33238</v>
      </c>
      <c r="D13" s="65">
        <v>3000</v>
      </c>
      <c r="E13" s="65">
        <v>3000</v>
      </c>
      <c r="F13" s="66">
        <f t="shared" si="0"/>
        <v>0</v>
      </c>
      <c r="I13" s="67">
        <v>3000</v>
      </c>
      <c r="J13" s="68">
        <v>0</v>
      </c>
    </row>
    <row r="14" spans="1:11" x14ac:dyDescent="0.25">
      <c r="A14" t="s">
        <v>67</v>
      </c>
      <c r="B14" s="63" t="s">
        <v>73</v>
      </c>
      <c r="C14" s="64">
        <v>24472</v>
      </c>
      <c r="D14" s="65">
        <v>3087.5</v>
      </c>
      <c r="E14" s="65">
        <v>3087.5</v>
      </c>
      <c r="F14" s="66">
        <f t="shared" si="0"/>
        <v>0</v>
      </c>
      <c r="I14" s="67">
        <v>3087.5</v>
      </c>
      <c r="J14" s="68">
        <v>0</v>
      </c>
    </row>
    <row r="15" spans="1:11" x14ac:dyDescent="0.25">
      <c r="A15" t="s">
        <v>67</v>
      </c>
      <c r="B15" s="63" t="s">
        <v>74</v>
      </c>
      <c r="C15" s="64">
        <v>33603</v>
      </c>
      <c r="D15" s="65">
        <v>3933</v>
      </c>
      <c r="E15" s="65">
        <v>3933</v>
      </c>
      <c r="F15" s="66">
        <f t="shared" si="0"/>
        <v>0</v>
      </c>
      <c r="I15" s="67">
        <v>3933</v>
      </c>
      <c r="J15" s="68">
        <v>0</v>
      </c>
    </row>
    <row r="16" spans="1:11" x14ac:dyDescent="0.25">
      <c r="A16" t="s">
        <v>67</v>
      </c>
      <c r="B16" s="63" t="s">
        <v>75</v>
      </c>
      <c r="C16" s="64">
        <v>26298</v>
      </c>
      <c r="D16" s="65">
        <v>425</v>
      </c>
      <c r="E16" s="65">
        <v>425</v>
      </c>
      <c r="F16" s="66">
        <f t="shared" si="0"/>
        <v>0</v>
      </c>
      <c r="I16" s="67">
        <v>425</v>
      </c>
      <c r="J16" s="68">
        <v>0</v>
      </c>
    </row>
    <row r="17" spans="1:10" x14ac:dyDescent="0.25">
      <c r="A17" t="s">
        <v>67</v>
      </c>
      <c r="B17" s="63" t="s">
        <v>76</v>
      </c>
      <c r="C17" s="64">
        <v>26298</v>
      </c>
      <c r="D17" s="65">
        <v>500</v>
      </c>
      <c r="E17" s="65">
        <v>500</v>
      </c>
      <c r="F17" s="66">
        <f t="shared" si="0"/>
        <v>0</v>
      </c>
      <c r="I17" s="67">
        <v>500</v>
      </c>
      <c r="J17" s="68">
        <v>0</v>
      </c>
    </row>
    <row r="18" spans="1:10" x14ac:dyDescent="0.25">
      <c r="A18" t="s">
        <v>67</v>
      </c>
      <c r="B18" s="63" t="s">
        <v>77</v>
      </c>
      <c r="C18" s="64">
        <v>24472</v>
      </c>
      <c r="D18" s="65">
        <v>3087.5</v>
      </c>
      <c r="E18" s="65">
        <v>3087.5</v>
      </c>
      <c r="F18" s="66">
        <f t="shared" si="0"/>
        <v>0</v>
      </c>
      <c r="I18" s="67">
        <v>3087.5</v>
      </c>
      <c r="J18" s="68">
        <v>0</v>
      </c>
    </row>
    <row r="19" spans="1:10" x14ac:dyDescent="0.25">
      <c r="A19" t="s">
        <v>67</v>
      </c>
      <c r="B19" s="63" t="s">
        <v>78</v>
      </c>
      <c r="C19" s="64">
        <v>30316</v>
      </c>
      <c r="D19" s="65">
        <v>15385</v>
      </c>
      <c r="E19" s="65">
        <v>15385</v>
      </c>
      <c r="F19" s="66">
        <f t="shared" si="0"/>
        <v>0</v>
      </c>
      <c r="I19" s="67">
        <v>15385</v>
      </c>
      <c r="J19" s="68">
        <v>0</v>
      </c>
    </row>
    <row r="20" spans="1:10" x14ac:dyDescent="0.25">
      <c r="A20" t="s">
        <v>67</v>
      </c>
      <c r="B20" s="63" t="s">
        <v>79</v>
      </c>
      <c r="C20" s="64">
        <v>33603</v>
      </c>
      <c r="D20" s="65">
        <v>557</v>
      </c>
      <c r="E20" s="65">
        <v>557</v>
      </c>
      <c r="F20" s="66">
        <f t="shared" si="0"/>
        <v>0</v>
      </c>
      <c r="I20" s="67">
        <v>557</v>
      </c>
      <c r="J20" s="68">
        <v>0</v>
      </c>
    </row>
    <row r="21" spans="1:10" x14ac:dyDescent="0.25">
      <c r="A21" t="s">
        <v>67</v>
      </c>
      <c r="B21" s="63" t="s">
        <v>80</v>
      </c>
      <c r="C21" s="64">
        <v>25933</v>
      </c>
      <c r="D21" s="65">
        <v>5843.5</v>
      </c>
      <c r="E21" s="65">
        <v>5843.5</v>
      </c>
      <c r="F21" s="66">
        <f t="shared" si="0"/>
        <v>0</v>
      </c>
      <c r="I21" s="67">
        <v>5843.5</v>
      </c>
      <c r="J21" s="68">
        <v>0</v>
      </c>
    </row>
    <row r="22" spans="1:10" x14ac:dyDescent="0.25">
      <c r="A22" t="s">
        <v>67</v>
      </c>
      <c r="B22" s="63" t="s">
        <v>81</v>
      </c>
      <c r="C22" s="64">
        <v>29586</v>
      </c>
      <c r="D22" s="65">
        <v>16767</v>
      </c>
      <c r="E22" s="65">
        <v>16767</v>
      </c>
      <c r="F22" s="66">
        <f t="shared" si="0"/>
        <v>0</v>
      </c>
      <c r="I22" s="67">
        <v>16767</v>
      </c>
      <c r="J22" s="68">
        <v>0</v>
      </c>
    </row>
    <row r="23" spans="1:10" x14ac:dyDescent="0.25">
      <c r="A23" t="s">
        <v>67</v>
      </c>
      <c r="B23" s="63" t="s">
        <v>82</v>
      </c>
      <c r="C23" s="64">
        <v>33238</v>
      </c>
      <c r="D23" s="65">
        <v>520</v>
      </c>
      <c r="E23" s="65">
        <v>520</v>
      </c>
      <c r="F23" s="66">
        <f t="shared" si="0"/>
        <v>0</v>
      </c>
      <c r="I23" s="67">
        <v>520</v>
      </c>
      <c r="J23" s="68">
        <v>0</v>
      </c>
    </row>
    <row r="24" spans="1:10" x14ac:dyDescent="0.25">
      <c r="A24" t="s">
        <v>67</v>
      </c>
      <c r="B24" s="63" t="s">
        <v>83</v>
      </c>
      <c r="C24" s="64">
        <v>29586</v>
      </c>
      <c r="D24" s="65">
        <v>16767</v>
      </c>
      <c r="E24" s="65">
        <v>16767</v>
      </c>
      <c r="F24" s="66">
        <f t="shared" si="0"/>
        <v>0</v>
      </c>
      <c r="I24" s="67">
        <v>16767</v>
      </c>
      <c r="J24" s="68">
        <v>0</v>
      </c>
    </row>
    <row r="25" spans="1:10" x14ac:dyDescent="0.25">
      <c r="A25" t="s">
        <v>67</v>
      </c>
      <c r="B25" s="63" t="s">
        <v>84</v>
      </c>
      <c r="C25" s="64">
        <v>33238</v>
      </c>
      <c r="D25" s="65">
        <v>320</v>
      </c>
      <c r="E25" s="65">
        <v>320</v>
      </c>
      <c r="F25" s="66">
        <f t="shared" si="0"/>
        <v>0</v>
      </c>
      <c r="I25" s="67">
        <v>320</v>
      </c>
      <c r="J25" s="68">
        <v>0</v>
      </c>
    </row>
    <row r="26" spans="1:10" x14ac:dyDescent="0.25">
      <c r="A26" t="s">
        <v>67</v>
      </c>
      <c r="B26" s="63" t="s">
        <v>85</v>
      </c>
      <c r="C26" s="64">
        <v>29586</v>
      </c>
      <c r="D26" s="65">
        <v>24786</v>
      </c>
      <c r="E26" s="65">
        <v>24786</v>
      </c>
      <c r="F26" s="66">
        <f t="shared" si="0"/>
        <v>0</v>
      </c>
      <c r="I26" s="67">
        <v>24786</v>
      </c>
      <c r="J26" s="68">
        <v>0</v>
      </c>
    </row>
    <row r="27" spans="1:10" x14ac:dyDescent="0.25">
      <c r="A27" t="s">
        <v>67</v>
      </c>
      <c r="B27" s="63" t="s">
        <v>86</v>
      </c>
      <c r="C27" s="64">
        <v>30681</v>
      </c>
      <c r="D27" s="65">
        <v>15656</v>
      </c>
      <c r="E27" s="65">
        <v>15656</v>
      </c>
      <c r="F27" s="66">
        <f t="shared" si="0"/>
        <v>0</v>
      </c>
      <c r="I27" s="67">
        <v>15656</v>
      </c>
      <c r="J27" s="68">
        <v>0</v>
      </c>
    </row>
    <row r="28" spans="1:10" x14ac:dyDescent="0.25">
      <c r="A28" t="s">
        <v>87</v>
      </c>
      <c r="B28" s="63" t="s">
        <v>88</v>
      </c>
      <c r="C28" s="64">
        <v>24472</v>
      </c>
      <c r="D28" s="69">
        <v>2307.5</v>
      </c>
      <c r="E28" s="65">
        <v>0</v>
      </c>
      <c r="F28" s="66">
        <f t="shared" si="0"/>
        <v>2307.5</v>
      </c>
      <c r="G28" s="70" t="s">
        <v>55</v>
      </c>
      <c r="H28" s="71">
        <v>1</v>
      </c>
      <c r="I28" s="67">
        <v>0</v>
      </c>
      <c r="J28" s="68">
        <v>2307.5</v>
      </c>
    </row>
    <row r="29" spans="1:10" x14ac:dyDescent="0.25">
      <c r="A29" t="s">
        <v>87</v>
      </c>
      <c r="B29" s="63" t="s">
        <v>89</v>
      </c>
      <c r="C29" s="64">
        <v>23011</v>
      </c>
      <c r="D29" s="65">
        <v>180890</v>
      </c>
      <c r="E29" s="65">
        <v>0</v>
      </c>
      <c r="F29" s="66">
        <f t="shared" si="0"/>
        <v>180890</v>
      </c>
      <c r="I29" s="67">
        <v>0</v>
      </c>
      <c r="J29" s="68">
        <v>180890</v>
      </c>
    </row>
    <row r="30" spans="1:10" x14ac:dyDescent="0.25">
      <c r="A30" t="s">
        <v>87</v>
      </c>
      <c r="B30" s="63" t="s">
        <v>90</v>
      </c>
      <c r="C30" s="64">
        <v>23011</v>
      </c>
      <c r="D30" s="65">
        <v>67765</v>
      </c>
      <c r="E30" s="65">
        <v>0</v>
      </c>
      <c r="F30" s="66">
        <f t="shared" si="0"/>
        <v>67765</v>
      </c>
      <c r="I30" s="67">
        <v>0</v>
      </c>
      <c r="J30" s="68">
        <v>67765</v>
      </c>
    </row>
    <row r="31" spans="1:10" x14ac:dyDescent="0.25">
      <c r="A31" t="s">
        <v>87</v>
      </c>
      <c r="B31" s="63" t="s">
        <v>91</v>
      </c>
      <c r="C31" s="64">
        <v>23742</v>
      </c>
      <c r="D31" s="65">
        <v>2534</v>
      </c>
      <c r="E31" s="65">
        <v>0</v>
      </c>
      <c r="F31" s="66">
        <f t="shared" si="0"/>
        <v>2534</v>
      </c>
      <c r="I31" s="67">
        <v>0</v>
      </c>
      <c r="J31" s="68">
        <v>2534</v>
      </c>
    </row>
    <row r="32" spans="1:10" x14ac:dyDescent="0.25">
      <c r="A32" t="s">
        <v>87</v>
      </c>
      <c r="B32" s="63" t="s">
        <v>92</v>
      </c>
      <c r="C32" s="64">
        <v>23742</v>
      </c>
      <c r="D32" s="65">
        <v>2719</v>
      </c>
      <c r="E32" s="65">
        <v>0</v>
      </c>
      <c r="F32" s="66">
        <f t="shared" si="0"/>
        <v>2719</v>
      </c>
      <c r="I32" s="67">
        <v>0</v>
      </c>
      <c r="J32" s="68">
        <v>2719</v>
      </c>
    </row>
    <row r="33" spans="1:10" x14ac:dyDescent="0.25">
      <c r="A33" t="s">
        <v>87</v>
      </c>
      <c r="B33" s="63" t="s">
        <v>90</v>
      </c>
      <c r="C33" s="64">
        <v>18628</v>
      </c>
      <c r="D33" s="65">
        <v>49020</v>
      </c>
      <c r="E33" s="65">
        <v>0</v>
      </c>
      <c r="F33" s="66">
        <f t="shared" si="0"/>
        <v>49020</v>
      </c>
      <c r="I33" s="67">
        <v>0</v>
      </c>
      <c r="J33" s="68">
        <v>49020</v>
      </c>
    </row>
    <row r="34" spans="1:10" x14ac:dyDescent="0.25">
      <c r="A34" t="s">
        <v>87</v>
      </c>
      <c r="B34" s="63" t="s">
        <v>93</v>
      </c>
      <c r="C34" s="64">
        <v>22281</v>
      </c>
      <c r="D34" s="65">
        <v>341208</v>
      </c>
      <c r="E34" s="65">
        <v>0</v>
      </c>
      <c r="F34" s="66">
        <f t="shared" si="0"/>
        <v>341208</v>
      </c>
      <c r="I34" s="67">
        <v>0</v>
      </c>
      <c r="J34" s="68">
        <v>341208</v>
      </c>
    </row>
    <row r="35" spans="1:10" x14ac:dyDescent="0.25">
      <c r="A35" t="s">
        <v>87</v>
      </c>
      <c r="B35" s="63" t="s">
        <v>94</v>
      </c>
      <c r="C35" s="64">
        <v>21185</v>
      </c>
      <c r="D35" s="65">
        <v>354211.17</v>
      </c>
      <c r="E35" s="65">
        <v>0</v>
      </c>
      <c r="F35" s="66">
        <f t="shared" si="0"/>
        <v>354211.17</v>
      </c>
      <c r="I35" s="67">
        <v>0</v>
      </c>
      <c r="J35" s="68">
        <v>354211.17</v>
      </c>
    </row>
    <row r="36" spans="1:10" x14ac:dyDescent="0.25">
      <c r="A36" t="s">
        <v>87</v>
      </c>
      <c r="B36" s="63" t="s">
        <v>95</v>
      </c>
      <c r="C36" s="64">
        <v>12784</v>
      </c>
      <c r="D36" s="65">
        <v>12487</v>
      </c>
      <c r="E36" s="65">
        <v>0</v>
      </c>
      <c r="F36" s="66">
        <f t="shared" si="0"/>
        <v>12487</v>
      </c>
      <c r="I36" s="67">
        <v>0</v>
      </c>
      <c r="J36" s="68">
        <v>12487</v>
      </c>
    </row>
    <row r="37" spans="1:10" x14ac:dyDescent="0.25">
      <c r="A37" t="s">
        <v>87</v>
      </c>
      <c r="B37" s="63" t="s">
        <v>96</v>
      </c>
      <c r="C37" s="64">
        <v>29586</v>
      </c>
      <c r="D37" s="69"/>
      <c r="E37" s="65">
        <v>715286.62999999954</v>
      </c>
      <c r="F37" s="66"/>
      <c r="I37" s="67">
        <v>715286.62999999954</v>
      </c>
      <c r="J37" s="68">
        <v>60325.370000000461</v>
      </c>
    </row>
    <row r="38" spans="1:10" x14ac:dyDescent="0.25">
      <c r="A38" t="s">
        <v>87</v>
      </c>
      <c r="B38" s="63" t="s">
        <v>97</v>
      </c>
      <c r="C38" s="64">
        <v>29586</v>
      </c>
      <c r="D38" s="65">
        <v>15271</v>
      </c>
      <c r="E38" s="65">
        <v>0</v>
      </c>
      <c r="F38" s="66">
        <f t="shared" ref="F38:F91" si="1">+D38-E38</f>
        <v>15271</v>
      </c>
      <c r="I38" s="67">
        <v>0</v>
      </c>
      <c r="J38" s="68">
        <v>15271</v>
      </c>
    </row>
    <row r="39" spans="1:10" x14ac:dyDescent="0.25">
      <c r="A39" t="s">
        <v>87</v>
      </c>
      <c r="B39" s="63" t="s">
        <v>98</v>
      </c>
      <c r="C39" s="64">
        <v>28855</v>
      </c>
      <c r="D39" s="65">
        <v>815811</v>
      </c>
      <c r="E39" s="65">
        <v>0</v>
      </c>
      <c r="F39" s="66">
        <f t="shared" si="1"/>
        <v>815811</v>
      </c>
      <c r="I39" s="67">
        <v>0</v>
      </c>
      <c r="J39" s="68">
        <v>815811</v>
      </c>
    </row>
    <row r="40" spans="1:10" x14ac:dyDescent="0.25">
      <c r="A40" t="s">
        <v>87</v>
      </c>
      <c r="B40" s="63" t="s">
        <v>99</v>
      </c>
      <c r="C40" s="64">
        <v>28855</v>
      </c>
      <c r="D40" s="69">
        <v>3923.5</v>
      </c>
      <c r="E40" s="65">
        <v>0</v>
      </c>
      <c r="F40" s="66">
        <f t="shared" si="1"/>
        <v>3923.5</v>
      </c>
      <c r="G40" s="70" t="s">
        <v>55</v>
      </c>
      <c r="H40" s="71">
        <v>1</v>
      </c>
      <c r="I40" s="67">
        <v>0</v>
      </c>
      <c r="J40" s="68">
        <v>3923.5</v>
      </c>
    </row>
    <row r="41" spans="1:10" x14ac:dyDescent="0.25">
      <c r="A41" t="s">
        <v>87</v>
      </c>
      <c r="B41" s="63" t="s">
        <v>100</v>
      </c>
      <c r="C41" s="64">
        <v>28490</v>
      </c>
      <c r="D41" s="65">
        <v>9659.6</v>
      </c>
      <c r="E41" s="65">
        <v>0</v>
      </c>
      <c r="F41" s="66">
        <f t="shared" si="1"/>
        <v>9659.6</v>
      </c>
      <c r="I41" s="67">
        <v>0</v>
      </c>
      <c r="J41" s="68">
        <v>9659.6</v>
      </c>
    </row>
    <row r="42" spans="1:10" x14ac:dyDescent="0.25">
      <c r="A42" t="s">
        <v>87</v>
      </c>
      <c r="B42" s="63" t="s">
        <v>101</v>
      </c>
      <c r="C42" s="64">
        <v>25933</v>
      </c>
      <c r="D42" s="65">
        <v>3525.6</v>
      </c>
      <c r="E42" s="65">
        <v>0</v>
      </c>
      <c r="F42" s="66">
        <f t="shared" si="1"/>
        <v>3525.6</v>
      </c>
      <c r="I42" s="67">
        <v>0</v>
      </c>
      <c r="J42" s="68">
        <v>3525.6</v>
      </c>
    </row>
    <row r="43" spans="1:10" x14ac:dyDescent="0.25">
      <c r="A43" t="s">
        <v>87</v>
      </c>
      <c r="B43" s="63" t="s">
        <v>102</v>
      </c>
      <c r="C43" s="64">
        <v>24472</v>
      </c>
      <c r="D43" s="65">
        <v>5460</v>
      </c>
      <c r="E43" s="65">
        <v>0</v>
      </c>
      <c r="F43" s="66">
        <f t="shared" si="1"/>
        <v>5460</v>
      </c>
      <c r="I43" s="67">
        <v>0</v>
      </c>
      <c r="J43" s="68">
        <v>5460</v>
      </c>
    </row>
    <row r="44" spans="1:10" x14ac:dyDescent="0.25">
      <c r="A44" t="s">
        <v>87</v>
      </c>
      <c r="B44" s="63" t="s">
        <v>103</v>
      </c>
      <c r="C44" s="64">
        <v>29586</v>
      </c>
      <c r="D44" s="65">
        <v>14564</v>
      </c>
      <c r="E44" s="65">
        <v>0</v>
      </c>
      <c r="F44" s="66">
        <f t="shared" si="1"/>
        <v>14564</v>
      </c>
      <c r="I44" s="67">
        <v>0</v>
      </c>
      <c r="J44" s="68">
        <v>14564</v>
      </c>
    </row>
    <row r="45" spans="1:10" x14ac:dyDescent="0.25">
      <c r="A45" t="s">
        <v>104</v>
      </c>
      <c r="B45" s="63" t="s">
        <v>105</v>
      </c>
      <c r="C45" s="64">
        <v>33238</v>
      </c>
      <c r="D45" s="65">
        <v>98239</v>
      </c>
      <c r="E45" s="65">
        <v>61890.569999999992</v>
      </c>
      <c r="F45" s="66">
        <f t="shared" si="1"/>
        <v>36348.430000000008</v>
      </c>
      <c r="I45" s="67">
        <v>61890.569999999992</v>
      </c>
      <c r="J45" s="68">
        <v>36348.430000000008</v>
      </c>
    </row>
    <row r="46" spans="1:10" x14ac:dyDescent="0.25">
      <c r="A46" t="s">
        <v>104</v>
      </c>
      <c r="B46" s="63" t="s">
        <v>106</v>
      </c>
      <c r="C46" s="64">
        <v>13149</v>
      </c>
      <c r="D46" s="65">
        <v>13172</v>
      </c>
      <c r="E46" s="65">
        <v>13172</v>
      </c>
      <c r="F46" s="66">
        <f t="shared" si="1"/>
        <v>0</v>
      </c>
      <c r="I46" s="67">
        <v>13172</v>
      </c>
      <c r="J46" s="68">
        <v>0</v>
      </c>
    </row>
    <row r="47" spans="1:10" x14ac:dyDescent="0.25">
      <c r="A47" t="s">
        <v>104</v>
      </c>
      <c r="B47" s="63" t="s">
        <v>107</v>
      </c>
      <c r="C47" s="64">
        <v>28855</v>
      </c>
      <c r="D47" s="65">
        <v>59502</v>
      </c>
      <c r="E47" s="65">
        <v>51766.740000000005</v>
      </c>
      <c r="F47" s="66">
        <f t="shared" si="1"/>
        <v>7735.2599999999948</v>
      </c>
      <c r="I47" s="67">
        <v>51766.740000000005</v>
      </c>
      <c r="J47" s="68">
        <v>7735.2599999999948</v>
      </c>
    </row>
    <row r="48" spans="1:10" x14ac:dyDescent="0.25">
      <c r="A48" t="s">
        <v>104</v>
      </c>
      <c r="B48" s="63" t="s">
        <v>108</v>
      </c>
      <c r="C48" s="64">
        <v>26298</v>
      </c>
      <c r="D48" s="65">
        <v>12560</v>
      </c>
      <c r="E48" s="65">
        <v>12560.000000000005</v>
      </c>
      <c r="F48" s="66">
        <f t="shared" si="1"/>
        <v>0</v>
      </c>
      <c r="I48" s="67">
        <v>12560.000000000005</v>
      </c>
      <c r="J48" s="68">
        <v>0</v>
      </c>
    </row>
    <row r="49" spans="1:10" x14ac:dyDescent="0.25">
      <c r="A49" t="s">
        <v>104</v>
      </c>
      <c r="B49" s="63" t="s">
        <v>109</v>
      </c>
      <c r="C49" s="64">
        <v>28490</v>
      </c>
      <c r="D49" s="65">
        <v>57125</v>
      </c>
      <c r="E49" s="65">
        <v>50841.25</v>
      </c>
      <c r="F49" s="66">
        <f t="shared" si="1"/>
        <v>6283.75</v>
      </c>
      <c r="I49" s="67">
        <v>50841.25</v>
      </c>
      <c r="J49" s="68">
        <v>6283.75</v>
      </c>
    </row>
    <row r="50" spans="1:10" x14ac:dyDescent="0.25">
      <c r="A50" t="s">
        <v>104</v>
      </c>
      <c r="B50" s="63" t="s">
        <v>110</v>
      </c>
      <c r="C50" s="64">
        <v>27029</v>
      </c>
      <c r="D50" s="65">
        <v>34907</v>
      </c>
      <c r="E50" s="65">
        <v>33859.789999999994</v>
      </c>
      <c r="F50" s="66">
        <f t="shared" si="1"/>
        <v>1047.2100000000064</v>
      </c>
      <c r="I50" s="67">
        <v>33859.789999999994</v>
      </c>
      <c r="J50" s="68">
        <v>1047.2100000000064</v>
      </c>
    </row>
    <row r="51" spans="1:10" x14ac:dyDescent="0.25">
      <c r="A51" t="s">
        <v>104</v>
      </c>
      <c r="B51" s="63" t="s">
        <v>111</v>
      </c>
      <c r="C51" s="64">
        <v>28125</v>
      </c>
      <c r="D51" s="65">
        <v>51169</v>
      </c>
      <c r="E51" s="65">
        <v>46563.789999999979</v>
      </c>
      <c r="F51" s="66">
        <f t="shared" si="1"/>
        <v>4605.210000000021</v>
      </c>
      <c r="I51" s="67">
        <v>46563.789999999979</v>
      </c>
      <c r="J51" s="68">
        <v>4605.210000000021</v>
      </c>
    </row>
    <row r="52" spans="1:10" x14ac:dyDescent="0.25">
      <c r="A52" t="s">
        <v>104</v>
      </c>
      <c r="B52" s="63" t="s">
        <v>112</v>
      </c>
      <c r="C52" s="64">
        <v>33603</v>
      </c>
      <c r="D52" s="65">
        <v>697360</v>
      </c>
      <c r="E52" s="65">
        <v>425389.60000000009</v>
      </c>
      <c r="F52" s="66">
        <f t="shared" si="1"/>
        <v>271970.39999999991</v>
      </c>
      <c r="I52" s="67">
        <v>425389.60000000009</v>
      </c>
      <c r="J52" s="68">
        <v>271970.39999999991</v>
      </c>
    </row>
    <row r="53" spans="1:10" x14ac:dyDescent="0.25">
      <c r="A53" t="s">
        <v>104</v>
      </c>
      <c r="B53" s="63" t="s">
        <v>113</v>
      </c>
      <c r="C53" s="64">
        <v>27759</v>
      </c>
      <c r="D53" s="65">
        <v>91183</v>
      </c>
      <c r="E53" s="65">
        <v>84800.190000000031</v>
      </c>
      <c r="F53" s="66">
        <f t="shared" si="1"/>
        <v>6382.8099999999686</v>
      </c>
      <c r="I53" s="67">
        <v>84800.190000000031</v>
      </c>
      <c r="J53" s="68">
        <v>6382.8099999999686</v>
      </c>
    </row>
    <row r="54" spans="1:10" x14ac:dyDescent="0.25">
      <c r="A54" t="s">
        <v>104</v>
      </c>
      <c r="B54" s="63" t="s">
        <v>114</v>
      </c>
      <c r="C54" s="64">
        <v>33603</v>
      </c>
      <c r="D54" s="65">
        <v>135768</v>
      </c>
      <c r="E54" s="65">
        <v>82818.48</v>
      </c>
      <c r="F54" s="66">
        <f t="shared" si="1"/>
        <v>52949.520000000004</v>
      </c>
      <c r="I54" s="67">
        <v>82818.48</v>
      </c>
      <c r="J54" s="68">
        <v>52949.520000000004</v>
      </c>
    </row>
    <row r="55" spans="1:10" x14ac:dyDescent="0.25">
      <c r="A55" t="s">
        <v>104</v>
      </c>
      <c r="B55" s="63" t="s">
        <v>115</v>
      </c>
      <c r="C55" s="64">
        <v>27394</v>
      </c>
      <c r="D55" s="65">
        <v>114864</v>
      </c>
      <c r="E55" s="65">
        <v>109120.79999999999</v>
      </c>
      <c r="F55" s="66">
        <f t="shared" si="1"/>
        <v>5743.2000000000116</v>
      </c>
      <c r="I55" s="67">
        <v>109120.79999999999</v>
      </c>
      <c r="J55" s="68">
        <v>5743.2000000000116</v>
      </c>
    </row>
    <row r="56" spans="1:10" x14ac:dyDescent="0.25">
      <c r="A56" t="s">
        <v>104</v>
      </c>
      <c r="B56" s="63" t="s">
        <v>116</v>
      </c>
      <c r="C56" s="64">
        <v>32142</v>
      </c>
      <c r="D56" s="65">
        <v>104694</v>
      </c>
      <c r="E56" s="65">
        <v>72238.86</v>
      </c>
      <c r="F56" s="66">
        <f t="shared" si="1"/>
        <v>32455.14</v>
      </c>
      <c r="I56" s="67">
        <v>72238.86</v>
      </c>
      <c r="J56" s="68">
        <v>32455.14</v>
      </c>
    </row>
    <row r="57" spans="1:10" x14ac:dyDescent="0.25">
      <c r="A57" t="s">
        <v>104</v>
      </c>
      <c r="B57" s="63" t="s">
        <v>117</v>
      </c>
      <c r="C57" s="64">
        <v>23011</v>
      </c>
      <c r="D57" s="65">
        <v>146884</v>
      </c>
      <c r="E57" s="65">
        <v>146884</v>
      </c>
      <c r="F57" s="66">
        <f t="shared" si="1"/>
        <v>0</v>
      </c>
      <c r="I57" s="67">
        <v>146884</v>
      </c>
      <c r="J57" s="68">
        <v>0</v>
      </c>
    </row>
    <row r="58" spans="1:10" x14ac:dyDescent="0.25">
      <c r="A58" t="s">
        <v>104</v>
      </c>
      <c r="B58" s="63" t="s">
        <v>118</v>
      </c>
      <c r="C58" s="64">
        <v>29586</v>
      </c>
      <c r="D58" s="65">
        <v>148879</v>
      </c>
      <c r="E58" s="65">
        <v>123569.57000000002</v>
      </c>
      <c r="F58" s="66">
        <f t="shared" si="1"/>
        <v>25309.429999999978</v>
      </c>
      <c r="I58" s="67">
        <v>123569.57000000002</v>
      </c>
      <c r="J58" s="68">
        <v>25309.429999999978</v>
      </c>
    </row>
    <row r="59" spans="1:10" x14ac:dyDescent="0.25">
      <c r="A59" t="s">
        <v>104</v>
      </c>
      <c r="B59" s="63" t="s">
        <v>119</v>
      </c>
      <c r="C59" s="64">
        <v>29951</v>
      </c>
      <c r="D59" s="65">
        <v>908068</v>
      </c>
      <c r="E59" s="65">
        <v>735535.07999999984</v>
      </c>
      <c r="F59" s="66">
        <f t="shared" si="1"/>
        <v>172532.92000000016</v>
      </c>
      <c r="I59" s="67">
        <v>735535.07999999984</v>
      </c>
      <c r="J59" s="68">
        <v>172532.92000000016</v>
      </c>
    </row>
    <row r="60" spans="1:10" x14ac:dyDescent="0.25">
      <c r="A60" t="s">
        <v>104</v>
      </c>
      <c r="B60" s="63" t="s">
        <v>120</v>
      </c>
      <c r="C60" s="64">
        <v>29220</v>
      </c>
      <c r="D60" s="65">
        <v>169166</v>
      </c>
      <c r="E60" s="65">
        <v>143791.10000000006</v>
      </c>
      <c r="F60" s="66">
        <f t="shared" si="1"/>
        <v>25374.899999999936</v>
      </c>
      <c r="I60" s="67">
        <v>143791.10000000006</v>
      </c>
      <c r="J60" s="68">
        <v>25374.899999999936</v>
      </c>
    </row>
    <row r="61" spans="1:10" x14ac:dyDescent="0.25">
      <c r="A61" t="s">
        <v>104</v>
      </c>
      <c r="B61" s="63" t="s">
        <v>121</v>
      </c>
      <c r="C61" s="64">
        <v>25933</v>
      </c>
      <c r="D61" s="65">
        <v>106168</v>
      </c>
      <c r="E61" s="65">
        <v>106168</v>
      </c>
      <c r="F61" s="66">
        <f t="shared" si="1"/>
        <v>0</v>
      </c>
      <c r="I61" s="67">
        <v>106168</v>
      </c>
      <c r="J61" s="68">
        <v>0</v>
      </c>
    </row>
    <row r="62" spans="1:10" x14ac:dyDescent="0.25">
      <c r="A62" t="s">
        <v>104</v>
      </c>
      <c r="B62" s="63" t="s">
        <v>122</v>
      </c>
      <c r="C62" s="64">
        <v>25568</v>
      </c>
      <c r="D62" s="65">
        <v>22441</v>
      </c>
      <c r="E62" s="65">
        <v>22440.999999999996</v>
      </c>
      <c r="F62" s="66">
        <f t="shared" si="1"/>
        <v>0</v>
      </c>
      <c r="I62" s="67">
        <v>22440.999999999996</v>
      </c>
      <c r="J62" s="68">
        <v>0</v>
      </c>
    </row>
    <row r="63" spans="1:10" x14ac:dyDescent="0.25">
      <c r="A63" t="s">
        <v>104</v>
      </c>
      <c r="B63" s="63" t="s">
        <v>123</v>
      </c>
      <c r="C63" s="64">
        <v>32873</v>
      </c>
      <c r="D63" s="65">
        <v>20741</v>
      </c>
      <c r="E63" s="65">
        <v>13481.649999999998</v>
      </c>
      <c r="F63" s="66">
        <f t="shared" si="1"/>
        <v>7259.3500000000022</v>
      </c>
      <c r="I63" s="67">
        <v>13481.649999999998</v>
      </c>
      <c r="J63" s="68">
        <v>7259.3500000000022</v>
      </c>
    </row>
    <row r="64" spans="1:10" x14ac:dyDescent="0.25">
      <c r="A64" t="s">
        <v>104</v>
      </c>
      <c r="B64" s="63" t="s">
        <v>123</v>
      </c>
      <c r="C64" s="64">
        <v>32873</v>
      </c>
      <c r="D64" s="65">
        <v>72963</v>
      </c>
      <c r="E64" s="65">
        <v>47425.950000000019</v>
      </c>
      <c r="F64" s="66">
        <f t="shared" si="1"/>
        <v>25537.049999999981</v>
      </c>
      <c r="I64" s="67">
        <v>47425.950000000019</v>
      </c>
      <c r="J64" s="68">
        <v>25537.049999999981</v>
      </c>
    </row>
    <row r="65" spans="1:10" x14ac:dyDescent="0.25">
      <c r="A65" t="s">
        <v>59</v>
      </c>
      <c r="B65" s="63" t="s">
        <v>124</v>
      </c>
      <c r="C65" s="64" t="s">
        <v>125</v>
      </c>
      <c r="D65" s="65">
        <v>2100</v>
      </c>
      <c r="E65" s="65">
        <v>0</v>
      </c>
      <c r="F65" s="66">
        <f t="shared" si="1"/>
        <v>2100</v>
      </c>
      <c r="I65" s="67">
        <v>0</v>
      </c>
      <c r="J65" s="68">
        <v>2100</v>
      </c>
    </row>
    <row r="66" spans="1:10" x14ac:dyDescent="0.25">
      <c r="A66" t="s">
        <v>59</v>
      </c>
      <c r="B66" s="63" t="s">
        <v>66</v>
      </c>
      <c r="C66" s="64">
        <v>2470</v>
      </c>
      <c r="D66" s="65">
        <v>200</v>
      </c>
      <c r="E66" s="65">
        <v>0</v>
      </c>
      <c r="F66" s="66">
        <f t="shared" si="1"/>
        <v>200</v>
      </c>
      <c r="I66" s="67">
        <v>0</v>
      </c>
      <c r="J66" s="68">
        <v>200</v>
      </c>
    </row>
    <row r="67" spans="1:10" x14ac:dyDescent="0.25">
      <c r="A67" t="s">
        <v>59</v>
      </c>
      <c r="B67" s="63" t="s">
        <v>126</v>
      </c>
      <c r="C67" s="64">
        <v>1828</v>
      </c>
      <c r="D67" s="65">
        <v>1000</v>
      </c>
      <c r="E67" s="65">
        <v>0</v>
      </c>
      <c r="F67" s="66">
        <f t="shared" si="1"/>
        <v>1000</v>
      </c>
      <c r="I67" s="67">
        <v>0</v>
      </c>
      <c r="J67" s="68">
        <v>1000</v>
      </c>
    </row>
    <row r="68" spans="1:10" x14ac:dyDescent="0.25">
      <c r="A68" t="s">
        <v>67</v>
      </c>
      <c r="B68" s="63" t="s">
        <v>127</v>
      </c>
      <c r="C68" s="64">
        <v>34150</v>
      </c>
      <c r="D68" s="65">
        <v>446.14</v>
      </c>
      <c r="E68" s="65">
        <v>446.14</v>
      </c>
      <c r="F68" s="66">
        <f t="shared" si="1"/>
        <v>0</v>
      </c>
      <c r="I68" s="67">
        <v>446.14</v>
      </c>
      <c r="J68" s="68">
        <v>0</v>
      </c>
    </row>
    <row r="69" spans="1:10" x14ac:dyDescent="0.25">
      <c r="A69" t="s">
        <v>59</v>
      </c>
      <c r="B69" s="63" t="s">
        <v>128</v>
      </c>
      <c r="C69" s="64">
        <v>33974</v>
      </c>
      <c r="D69" s="65">
        <v>131313.60000000001</v>
      </c>
      <c r="E69" s="65">
        <v>0</v>
      </c>
      <c r="F69" s="66">
        <f t="shared" si="1"/>
        <v>131313.60000000001</v>
      </c>
      <c r="I69" s="67">
        <v>0</v>
      </c>
      <c r="J69" s="68">
        <v>131313.60000000001</v>
      </c>
    </row>
    <row r="70" spans="1:10" x14ac:dyDescent="0.25">
      <c r="A70" t="s">
        <v>87</v>
      </c>
      <c r="B70" s="63" t="s">
        <v>129</v>
      </c>
      <c r="C70" s="64">
        <v>34150</v>
      </c>
      <c r="D70" s="65">
        <v>480472.5</v>
      </c>
      <c r="E70" s="65">
        <v>0</v>
      </c>
      <c r="F70" s="66">
        <f t="shared" si="1"/>
        <v>480472.5</v>
      </c>
      <c r="I70" s="67">
        <v>0</v>
      </c>
      <c r="J70" s="68">
        <v>480472.5</v>
      </c>
    </row>
    <row r="71" spans="1:10" x14ac:dyDescent="0.25">
      <c r="A71" t="s">
        <v>104</v>
      </c>
      <c r="B71" s="63" t="s">
        <v>130</v>
      </c>
      <c r="C71" s="64">
        <v>34150</v>
      </c>
      <c r="D71" s="65">
        <v>213466</v>
      </c>
      <c r="E71" s="65">
        <v>125944.94000000006</v>
      </c>
      <c r="F71" s="66">
        <f t="shared" si="1"/>
        <v>87521.059999999939</v>
      </c>
      <c r="I71" s="67">
        <v>125944.94000000006</v>
      </c>
      <c r="J71" s="68">
        <v>87521.059999999939</v>
      </c>
    </row>
    <row r="72" spans="1:10" x14ac:dyDescent="0.25">
      <c r="A72" t="s">
        <v>87</v>
      </c>
      <c r="B72" s="63" t="s">
        <v>131</v>
      </c>
      <c r="C72" s="64">
        <v>33603</v>
      </c>
      <c r="D72" s="65">
        <v>1026</v>
      </c>
      <c r="E72" s="65">
        <v>1026</v>
      </c>
      <c r="F72" s="66">
        <f t="shared" si="1"/>
        <v>0</v>
      </c>
      <c r="I72" s="67">
        <v>1026</v>
      </c>
      <c r="J72" s="68">
        <v>0</v>
      </c>
    </row>
    <row r="73" spans="1:10" x14ac:dyDescent="0.25">
      <c r="A73" t="s">
        <v>87</v>
      </c>
      <c r="B73" s="63" t="s">
        <v>131</v>
      </c>
      <c r="C73" s="64">
        <v>33603</v>
      </c>
      <c r="D73" s="65">
        <v>7698</v>
      </c>
      <c r="E73" s="65">
        <v>7698</v>
      </c>
      <c r="F73" s="66">
        <f t="shared" si="1"/>
        <v>0</v>
      </c>
      <c r="I73" s="67">
        <v>7698</v>
      </c>
      <c r="J73" s="68">
        <v>0</v>
      </c>
    </row>
    <row r="74" spans="1:10" x14ac:dyDescent="0.25">
      <c r="A74" t="s">
        <v>87</v>
      </c>
      <c r="B74" s="63" t="s">
        <v>132</v>
      </c>
      <c r="C74" s="64">
        <v>33238</v>
      </c>
      <c r="D74" s="65">
        <v>4750</v>
      </c>
      <c r="E74" s="65">
        <v>4750</v>
      </c>
      <c r="F74" s="66">
        <f t="shared" si="1"/>
        <v>0</v>
      </c>
      <c r="I74" s="67">
        <v>4750</v>
      </c>
      <c r="J74" s="68">
        <v>0</v>
      </c>
    </row>
    <row r="75" spans="1:10" x14ac:dyDescent="0.25">
      <c r="A75" t="s">
        <v>67</v>
      </c>
      <c r="B75" s="63" t="s">
        <v>133</v>
      </c>
      <c r="C75" s="64">
        <v>34393</v>
      </c>
      <c r="D75" s="65">
        <v>503.73</v>
      </c>
      <c r="E75" s="65">
        <v>503.73</v>
      </c>
      <c r="F75" s="66">
        <f t="shared" si="1"/>
        <v>0</v>
      </c>
      <c r="I75" s="67">
        <v>503.73</v>
      </c>
      <c r="J75" s="68">
        <v>0</v>
      </c>
    </row>
    <row r="76" spans="1:10" x14ac:dyDescent="0.25">
      <c r="A76" t="s">
        <v>67</v>
      </c>
      <c r="B76" s="63" t="s">
        <v>134</v>
      </c>
      <c r="C76" s="64">
        <v>34393</v>
      </c>
      <c r="D76" s="65">
        <v>520.16</v>
      </c>
      <c r="E76" s="65">
        <v>520.16</v>
      </c>
      <c r="F76" s="66">
        <f t="shared" si="1"/>
        <v>0</v>
      </c>
      <c r="I76" s="67">
        <v>520.16</v>
      </c>
      <c r="J76" s="68">
        <v>0</v>
      </c>
    </row>
    <row r="77" spans="1:10" x14ac:dyDescent="0.25">
      <c r="A77" t="s">
        <v>104</v>
      </c>
      <c r="B77" s="63" t="s">
        <v>135</v>
      </c>
      <c r="C77" s="64">
        <v>34365</v>
      </c>
      <c r="D77" s="65">
        <v>778.5</v>
      </c>
      <c r="E77" s="65">
        <v>443.89999999999986</v>
      </c>
      <c r="F77" s="66">
        <f t="shared" si="1"/>
        <v>334.60000000000014</v>
      </c>
      <c r="I77" s="67">
        <v>443.89999999999986</v>
      </c>
      <c r="J77" s="68">
        <v>334.60000000000014</v>
      </c>
    </row>
    <row r="78" spans="1:10" x14ac:dyDescent="0.25">
      <c r="A78" t="s">
        <v>87</v>
      </c>
      <c r="B78" s="63" t="s">
        <v>136</v>
      </c>
      <c r="C78" s="64">
        <v>34485</v>
      </c>
      <c r="D78" s="65">
        <v>7502.72</v>
      </c>
      <c r="E78" s="65">
        <v>5345.83</v>
      </c>
      <c r="F78" s="66">
        <f t="shared" si="1"/>
        <v>2156.8900000000003</v>
      </c>
      <c r="I78" s="67">
        <v>5345.83</v>
      </c>
      <c r="J78" s="68">
        <v>2156.8900000000003</v>
      </c>
    </row>
    <row r="79" spans="1:10" x14ac:dyDescent="0.25">
      <c r="A79" t="s">
        <v>67</v>
      </c>
      <c r="B79" s="63" t="s">
        <v>137</v>
      </c>
      <c r="C79" s="64">
        <v>33591</v>
      </c>
      <c r="D79" s="65">
        <v>13465</v>
      </c>
      <c r="E79" s="65">
        <v>13465</v>
      </c>
      <c r="F79" s="66">
        <f t="shared" si="1"/>
        <v>0</v>
      </c>
      <c r="I79" s="67">
        <v>13465</v>
      </c>
      <c r="J79" s="68">
        <v>0</v>
      </c>
    </row>
    <row r="80" spans="1:10" x14ac:dyDescent="0.25">
      <c r="A80" t="s">
        <v>104</v>
      </c>
      <c r="B80" s="63" t="s">
        <v>138</v>
      </c>
      <c r="C80" s="64">
        <v>34515</v>
      </c>
      <c r="D80" s="65">
        <v>617265</v>
      </c>
      <c r="E80" s="65">
        <v>351841.04999999993</v>
      </c>
      <c r="F80" s="66">
        <f t="shared" si="1"/>
        <v>265423.95000000007</v>
      </c>
      <c r="I80" s="67">
        <v>351841.04999999993</v>
      </c>
      <c r="J80" s="68">
        <v>265423.95000000007</v>
      </c>
    </row>
    <row r="81" spans="1:10" x14ac:dyDescent="0.25">
      <c r="A81" t="s">
        <v>87</v>
      </c>
      <c r="B81" s="63" t="s">
        <v>139</v>
      </c>
      <c r="C81" s="64">
        <v>34638</v>
      </c>
      <c r="D81" s="65">
        <v>1225</v>
      </c>
      <c r="E81" s="65">
        <v>748.71000000000015</v>
      </c>
      <c r="F81" s="66">
        <f t="shared" si="1"/>
        <v>476.28999999999985</v>
      </c>
      <c r="I81" s="67">
        <v>748.71000000000015</v>
      </c>
      <c r="J81" s="68">
        <v>476.28999999999985</v>
      </c>
    </row>
    <row r="82" spans="1:10" x14ac:dyDescent="0.25">
      <c r="A82" t="s">
        <v>104</v>
      </c>
      <c r="B82" s="63" t="s">
        <v>140</v>
      </c>
      <c r="C82" s="64">
        <v>34880</v>
      </c>
      <c r="D82" s="65">
        <v>355072.41</v>
      </c>
      <c r="E82" s="65">
        <v>195289.87000000011</v>
      </c>
      <c r="F82" s="66">
        <f t="shared" si="1"/>
        <v>159782.53999999986</v>
      </c>
      <c r="I82" s="67">
        <v>195289.87000000011</v>
      </c>
      <c r="J82" s="68">
        <v>159782.53999999986</v>
      </c>
    </row>
    <row r="83" spans="1:10" x14ac:dyDescent="0.25">
      <c r="A83" t="s">
        <v>67</v>
      </c>
      <c r="B83" s="63" t="s">
        <v>141</v>
      </c>
      <c r="C83" s="64">
        <v>35124</v>
      </c>
      <c r="D83" s="65">
        <v>2000.56</v>
      </c>
      <c r="E83" s="65">
        <v>2000.56</v>
      </c>
      <c r="F83" s="66">
        <f t="shared" si="1"/>
        <v>0</v>
      </c>
      <c r="I83" s="67">
        <v>2000.56</v>
      </c>
      <c r="J83" s="68">
        <v>0</v>
      </c>
    </row>
    <row r="84" spans="1:10" x14ac:dyDescent="0.25">
      <c r="A84" t="s">
        <v>59</v>
      </c>
      <c r="B84" s="63" t="s">
        <v>142</v>
      </c>
      <c r="C84" s="64">
        <v>29521</v>
      </c>
      <c r="D84" s="65">
        <v>25000</v>
      </c>
      <c r="E84" s="65">
        <v>0</v>
      </c>
      <c r="F84" s="66">
        <f t="shared" si="1"/>
        <v>25000</v>
      </c>
      <c r="I84" s="67">
        <v>0</v>
      </c>
      <c r="J84" s="68">
        <v>25000</v>
      </c>
    </row>
    <row r="85" spans="1:10" x14ac:dyDescent="0.25">
      <c r="A85" t="s">
        <v>59</v>
      </c>
      <c r="B85" s="63" t="s">
        <v>143</v>
      </c>
      <c r="C85" s="64">
        <v>34178</v>
      </c>
      <c r="D85" s="65">
        <v>420000</v>
      </c>
      <c r="E85" s="65">
        <v>0</v>
      </c>
      <c r="F85" s="66">
        <f t="shared" si="1"/>
        <v>420000</v>
      </c>
      <c r="I85" s="67">
        <v>0</v>
      </c>
      <c r="J85" s="68">
        <v>420000</v>
      </c>
    </row>
    <row r="86" spans="1:10" x14ac:dyDescent="0.25">
      <c r="A86" t="s">
        <v>59</v>
      </c>
      <c r="B86" s="63" t="s">
        <v>64</v>
      </c>
      <c r="C86" s="64">
        <v>20820</v>
      </c>
      <c r="D86" s="65">
        <v>10</v>
      </c>
      <c r="E86" s="65">
        <v>0</v>
      </c>
      <c r="F86" s="66">
        <f t="shared" si="1"/>
        <v>10</v>
      </c>
      <c r="I86" s="67">
        <v>0</v>
      </c>
      <c r="J86" s="68">
        <v>10</v>
      </c>
    </row>
    <row r="87" spans="1:10" x14ac:dyDescent="0.25">
      <c r="A87" t="s">
        <v>104</v>
      </c>
      <c r="B87" s="63" t="s">
        <v>144</v>
      </c>
      <c r="C87" s="64">
        <v>35246</v>
      </c>
      <c r="D87" s="65">
        <v>509186.25</v>
      </c>
      <c r="E87" s="65">
        <v>269868.7900000001</v>
      </c>
      <c r="F87" s="66">
        <f t="shared" si="1"/>
        <v>239317.4599999999</v>
      </c>
      <c r="I87" s="67">
        <v>269868.7900000001</v>
      </c>
      <c r="J87" s="68">
        <v>239317.4599999999</v>
      </c>
    </row>
    <row r="88" spans="1:10" x14ac:dyDescent="0.25">
      <c r="A88" t="s">
        <v>67</v>
      </c>
      <c r="B88" s="63" t="s">
        <v>145</v>
      </c>
      <c r="C88" s="64">
        <v>26299</v>
      </c>
      <c r="D88" s="65">
        <v>858</v>
      </c>
      <c r="E88" s="65">
        <v>858</v>
      </c>
      <c r="F88" s="66">
        <f t="shared" si="1"/>
        <v>0</v>
      </c>
      <c r="I88" s="67">
        <v>858</v>
      </c>
      <c r="J88" s="68">
        <v>0</v>
      </c>
    </row>
    <row r="89" spans="1:10" x14ac:dyDescent="0.25">
      <c r="A89" t="s">
        <v>87</v>
      </c>
      <c r="B89" s="63" t="s">
        <v>146</v>
      </c>
      <c r="C89" s="64">
        <v>35338</v>
      </c>
      <c r="D89" s="65">
        <v>2584.5</v>
      </c>
      <c r="E89" s="65">
        <v>1464.6300000000003</v>
      </c>
      <c r="F89" s="66">
        <f t="shared" si="1"/>
        <v>1119.8699999999997</v>
      </c>
      <c r="I89" s="67">
        <v>1464.6300000000003</v>
      </c>
      <c r="J89" s="68">
        <v>1119.8699999999997</v>
      </c>
    </row>
    <row r="90" spans="1:10" x14ac:dyDescent="0.25">
      <c r="A90" t="s">
        <v>67</v>
      </c>
      <c r="B90" s="63" t="s">
        <v>147</v>
      </c>
      <c r="C90" s="64">
        <v>35489</v>
      </c>
      <c r="D90" s="65">
        <v>2307.1999999999998</v>
      </c>
      <c r="E90" s="65">
        <v>2307.1999999999998</v>
      </c>
      <c r="F90" s="66">
        <f t="shared" si="1"/>
        <v>0</v>
      </c>
      <c r="I90" s="67">
        <v>2307.1999999999998</v>
      </c>
      <c r="J90" s="68">
        <v>0</v>
      </c>
    </row>
    <row r="91" spans="1:10" x14ac:dyDescent="0.25">
      <c r="A91" t="s">
        <v>67</v>
      </c>
      <c r="B91" s="63" t="s">
        <v>148</v>
      </c>
      <c r="C91" s="64">
        <v>35976</v>
      </c>
      <c r="D91" s="65">
        <v>3564</v>
      </c>
      <c r="E91" s="65">
        <v>3564</v>
      </c>
      <c r="F91" s="66">
        <f t="shared" si="1"/>
        <v>0</v>
      </c>
      <c r="I91" s="67">
        <v>3564</v>
      </c>
      <c r="J91" s="68">
        <v>0</v>
      </c>
    </row>
    <row r="92" spans="1:10" x14ac:dyDescent="0.25">
      <c r="A92" t="s">
        <v>87</v>
      </c>
      <c r="B92" s="63" t="s">
        <v>149</v>
      </c>
      <c r="C92" s="64">
        <v>35976</v>
      </c>
      <c r="D92" s="69"/>
      <c r="E92" s="65">
        <v>316848.59999999992</v>
      </c>
      <c r="F92" s="66"/>
      <c r="I92" s="67">
        <v>316848.59999999992</v>
      </c>
      <c r="J92" s="68">
        <v>71129.160000000091</v>
      </c>
    </row>
    <row r="93" spans="1:10" x14ac:dyDescent="0.25">
      <c r="A93" t="s">
        <v>67</v>
      </c>
      <c r="B93" s="63" t="s">
        <v>150</v>
      </c>
      <c r="C93" s="64">
        <v>35976</v>
      </c>
      <c r="D93" s="65">
        <v>72258.259999999995</v>
      </c>
      <c r="E93" s="65">
        <v>72258.259999999995</v>
      </c>
      <c r="F93" s="66">
        <f t="shared" ref="F93:F153" si="2">+D93-E93</f>
        <v>0</v>
      </c>
      <c r="I93" s="67">
        <v>72258.259999999995</v>
      </c>
      <c r="J93" s="68">
        <v>0</v>
      </c>
    </row>
    <row r="94" spans="1:10" x14ac:dyDescent="0.25">
      <c r="A94" t="s">
        <v>87</v>
      </c>
      <c r="B94" s="63" t="s">
        <v>151</v>
      </c>
      <c r="C94" s="64">
        <v>35976</v>
      </c>
      <c r="D94" s="65">
        <v>36201.94</v>
      </c>
      <c r="E94" s="65">
        <v>19710.09</v>
      </c>
      <c r="F94" s="66">
        <f t="shared" si="2"/>
        <v>16491.850000000002</v>
      </c>
      <c r="I94" s="67">
        <v>19710.09</v>
      </c>
      <c r="J94" s="68">
        <v>16491.850000000002</v>
      </c>
    </row>
    <row r="95" spans="1:10" x14ac:dyDescent="0.25">
      <c r="A95" t="s">
        <v>104</v>
      </c>
      <c r="B95" s="63" t="s">
        <v>152</v>
      </c>
      <c r="C95" s="64">
        <v>35976</v>
      </c>
      <c r="D95" s="65">
        <v>90500.800000000003</v>
      </c>
      <c r="E95" s="65">
        <v>44345.449999999983</v>
      </c>
      <c r="F95" s="66">
        <f t="shared" si="2"/>
        <v>46155.35000000002</v>
      </c>
      <c r="I95" s="67">
        <v>44345.449999999983</v>
      </c>
      <c r="J95" s="68">
        <v>46155.35000000002</v>
      </c>
    </row>
    <row r="96" spans="1:10" x14ac:dyDescent="0.25">
      <c r="A96" t="s">
        <v>87</v>
      </c>
      <c r="B96" s="63" t="s">
        <v>153</v>
      </c>
      <c r="C96" s="64">
        <v>36217</v>
      </c>
      <c r="D96" s="65">
        <v>7913</v>
      </c>
      <c r="E96" s="65">
        <v>7913</v>
      </c>
      <c r="F96" s="66">
        <f t="shared" si="2"/>
        <v>0</v>
      </c>
      <c r="I96" s="67">
        <v>7913</v>
      </c>
      <c r="J96" s="68">
        <v>0</v>
      </c>
    </row>
    <row r="97" spans="1:10" x14ac:dyDescent="0.25">
      <c r="A97" t="s">
        <v>104</v>
      </c>
      <c r="B97" s="63" t="s">
        <v>154</v>
      </c>
      <c r="C97" s="64">
        <v>36341</v>
      </c>
      <c r="D97" s="65">
        <v>60161.99</v>
      </c>
      <c r="E97" s="65">
        <v>28276.29</v>
      </c>
      <c r="F97" s="66">
        <f t="shared" si="2"/>
        <v>31885.699999999997</v>
      </c>
      <c r="I97" s="67">
        <v>28276.29</v>
      </c>
      <c r="J97" s="68">
        <v>31885.699999999997</v>
      </c>
    </row>
    <row r="98" spans="1:10" x14ac:dyDescent="0.25">
      <c r="A98" t="s">
        <v>67</v>
      </c>
      <c r="B98" s="63" t="s">
        <v>155</v>
      </c>
      <c r="C98" s="64">
        <v>36557</v>
      </c>
      <c r="D98" s="65">
        <v>4484.84</v>
      </c>
      <c r="E98" s="65">
        <v>4484.84</v>
      </c>
      <c r="F98" s="66">
        <f t="shared" si="2"/>
        <v>0</v>
      </c>
      <c r="I98" s="67">
        <v>4484.84</v>
      </c>
      <c r="J98" s="68">
        <v>0</v>
      </c>
    </row>
    <row r="99" spans="1:10" x14ac:dyDescent="0.25">
      <c r="A99" t="s">
        <v>67</v>
      </c>
      <c r="B99" s="63" t="s">
        <v>156</v>
      </c>
      <c r="C99" s="64">
        <v>36644</v>
      </c>
      <c r="D99" s="65">
        <v>7250</v>
      </c>
      <c r="E99" s="65">
        <v>7250</v>
      </c>
      <c r="F99" s="66">
        <f t="shared" si="2"/>
        <v>0</v>
      </c>
      <c r="I99" s="67">
        <v>7250</v>
      </c>
      <c r="J99" s="68">
        <v>0</v>
      </c>
    </row>
    <row r="100" spans="1:10" x14ac:dyDescent="0.25">
      <c r="A100" t="s">
        <v>67</v>
      </c>
      <c r="B100" s="63" t="s">
        <v>157</v>
      </c>
      <c r="C100" s="64">
        <v>36364</v>
      </c>
      <c r="D100" s="65">
        <v>1686.25</v>
      </c>
      <c r="E100" s="65">
        <v>1686.25</v>
      </c>
      <c r="F100" s="66">
        <f t="shared" si="2"/>
        <v>0</v>
      </c>
      <c r="I100" s="67">
        <v>1686.25</v>
      </c>
      <c r="J100" s="68">
        <v>0</v>
      </c>
    </row>
    <row r="101" spans="1:10" x14ac:dyDescent="0.25">
      <c r="A101" t="s">
        <v>67</v>
      </c>
      <c r="B101" s="63" t="s">
        <v>158</v>
      </c>
      <c r="C101" s="64">
        <v>36364</v>
      </c>
      <c r="D101" s="65">
        <v>1686.25</v>
      </c>
      <c r="E101" s="65">
        <v>1686.25</v>
      </c>
      <c r="F101" s="66">
        <f t="shared" si="2"/>
        <v>0</v>
      </c>
      <c r="I101" s="67">
        <v>1686.25</v>
      </c>
      <c r="J101" s="68">
        <v>0</v>
      </c>
    </row>
    <row r="102" spans="1:10" x14ac:dyDescent="0.25">
      <c r="A102" t="s">
        <v>67</v>
      </c>
      <c r="B102" s="63" t="s">
        <v>159</v>
      </c>
      <c r="C102" s="64">
        <v>36535</v>
      </c>
      <c r="D102" s="65">
        <v>5824</v>
      </c>
      <c r="E102" s="65">
        <v>5824</v>
      </c>
      <c r="F102" s="66">
        <f t="shared" si="2"/>
        <v>0</v>
      </c>
      <c r="I102" s="67">
        <v>5824</v>
      </c>
      <c r="J102" s="68">
        <v>0</v>
      </c>
    </row>
    <row r="103" spans="1:10" x14ac:dyDescent="0.25">
      <c r="A103" t="s">
        <v>67</v>
      </c>
      <c r="B103" s="63" t="s">
        <v>160</v>
      </c>
      <c r="C103" s="64">
        <v>36535</v>
      </c>
      <c r="D103" s="65">
        <v>5148</v>
      </c>
      <c r="E103" s="65">
        <v>5148</v>
      </c>
      <c r="F103" s="66">
        <f t="shared" si="2"/>
        <v>0</v>
      </c>
      <c r="I103" s="67">
        <v>5148</v>
      </c>
      <c r="J103" s="68">
        <v>0</v>
      </c>
    </row>
    <row r="104" spans="1:10" x14ac:dyDescent="0.25">
      <c r="A104" t="s">
        <v>67</v>
      </c>
      <c r="B104" s="63" t="s">
        <v>161</v>
      </c>
      <c r="C104" s="64">
        <v>36535</v>
      </c>
      <c r="D104" s="65">
        <v>2250</v>
      </c>
      <c r="E104" s="65">
        <v>2250</v>
      </c>
      <c r="F104" s="66">
        <f t="shared" si="2"/>
        <v>0</v>
      </c>
      <c r="I104" s="67">
        <v>2250</v>
      </c>
      <c r="J104" s="68">
        <v>0</v>
      </c>
    </row>
    <row r="105" spans="1:10" x14ac:dyDescent="0.25">
      <c r="A105" t="s">
        <v>104</v>
      </c>
      <c r="B105" s="63" t="s">
        <v>162</v>
      </c>
      <c r="C105" s="64">
        <v>36707</v>
      </c>
      <c r="D105" s="65">
        <v>90508.19</v>
      </c>
      <c r="E105" s="65">
        <v>40728.779999999984</v>
      </c>
      <c r="F105" s="66">
        <f t="shared" si="2"/>
        <v>49779.410000000018</v>
      </c>
      <c r="I105" s="67">
        <v>40728.779999999984</v>
      </c>
      <c r="J105" s="68">
        <v>49779.410000000018</v>
      </c>
    </row>
    <row r="106" spans="1:10" x14ac:dyDescent="0.25">
      <c r="A106" t="s">
        <v>67</v>
      </c>
      <c r="B106" s="63" t="s">
        <v>163</v>
      </c>
      <c r="C106" s="64">
        <v>36789</v>
      </c>
      <c r="D106" s="65">
        <v>11321.36</v>
      </c>
      <c r="E106" s="65">
        <v>11321.36</v>
      </c>
      <c r="F106" s="66">
        <f t="shared" si="2"/>
        <v>0</v>
      </c>
      <c r="I106" s="67">
        <v>11321.36</v>
      </c>
      <c r="J106" s="68">
        <v>0</v>
      </c>
    </row>
    <row r="107" spans="1:10" x14ac:dyDescent="0.25">
      <c r="A107" t="s">
        <v>67</v>
      </c>
      <c r="B107" s="63" t="s">
        <v>164</v>
      </c>
      <c r="C107" s="64">
        <v>36804</v>
      </c>
      <c r="D107" s="65">
        <v>10000</v>
      </c>
      <c r="E107" s="65">
        <v>10000</v>
      </c>
      <c r="F107" s="66">
        <f t="shared" si="2"/>
        <v>0</v>
      </c>
      <c r="I107" s="67">
        <v>10000</v>
      </c>
      <c r="J107" s="68">
        <v>0</v>
      </c>
    </row>
    <row r="108" spans="1:10" x14ac:dyDescent="0.25">
      <c r="A108" t="s">
        <v>67</v>
      </c>
      <c r="B108" s="63" t="s">
        <v>165</v>
      </c>
      <c r="C108" s="64">
        <v>36830</v>
      </c>
      <c r="D108" s="65">
        <v>2925</v>
      </c>
      <c r="E108" s="65">
        <v>2925</v>
      </c>
      <c r="F108" s="66">
        <f t="shared" si="2"/>
        <v>0</v>
      </c>
      <c r="I108" s="67">
        <v>2925</v>
      </c>
      <c r="J108" s="68">
        <v>0</v>
      </c>
    </row>
    <row r="109" spans="1:10" x14ac:dyDescent="0.25">
      <c r="A109" t="s">
        <v>67</v>
      </c>
      <c r="B109" s="63" t="s">
        <v>166</v>
      </c>
      <c r="C109" s="64">
        <v>37019</v>
      </c>
      <c r="D109" s="65">
        <v>6200</v>
      </c>
      <c r="E109" s="65">
        <v>6200</v>
      </c>
      <c r="F109" s="66">
        <f t="shared" si="2"/>
        <v>0</v>
      </c>
      <c r="I109" s="67">
        <v>6200</v>
      </c>
      <c r="J109" s="68">
        <v>0</v>
      </c>
    </row>
    <row r="110" spans="1:10" x14ac:dyDescent="0.25">
      <c r="A110" t="s">
        <v>67</v>
      </c>
      <c r="B110" s="63" t="s">
        <v>167</v>
      </c>
      <c r="C110" s="64">
        <v>37019</v>
      </c>
      <c r="D110" s="65">
        <v>6200</v>
      </c>
      <c r="E110" s="65">
        <v>6200</v>
      </c>
      <c r="F110" s="66">
        <f t="shared" si="2"/>
        <v>0</v>
      </c>
      <c r="I110" s="67">
        <v>6200</v>
      </c>
      <c r="J110" s="68">
        <v>0</v>
      </c>
    </row>
    <row r="111" spans="1:10" x14ac:dyDescent="0.25">
      <c r="A111" t="s">
        <v>104</v>
      </c>
      <c r="B111" s="63" t="s">
        <v>168</v>
      </c>
      <c r="C111" s="64">
        <v>37072</v>
      </c>
      <c r="D111" s="65">
        <v>86363.23</v>
      </c>
      <c r="E111" s="65">
        <v>37136.269999999997</v>
      </c>
      <c r="F111" s="66">
        <f t="shared" si="2"/>
        <v>49226.96</v>
      </c>
      <c r="I111" s="67">
        <v>37136.269999999997</v>
      </c>
      <c r="J111" s="68">
        <v>49226.96</v>
      </c>
    </row>
    <row r="112" spans="1:10" x14ac:dyDescent="0.25">
      <c r="A112" t="s">
        <v>67</v>
      </c>
      <c r="B112" s="63" t="s">
        <v>169</v>
      </c>
      <c r="C112" s="64">
        <v>37072</v>
      </c>
      <c r="D112" s="65">
        <v>20433.64</v>
      </c>
      <c r="E112" s="65">
        <v>20433.640000000003</v>
      </c>
      <c r="F112" s="66">
        <f t="shared" si="2"/>
        <v>0</v>
      </c>
      <c r="I112" s="67">
        <v>20433.640000000003</v>
      </c>
      <c r="J112" s="68">
        <v>0</v>
      </c>
    </row>
    <row r="113" spans="1:10" x14ac:dyDescent="0.25">
      <c r="A113" t="s">
        <v>59</v>
      </c>
      <c r="B113" s="63" t="s">
        <v>170</v>
      </c>
      <c r="C113" s="64">
        <v>36782</v>
      </c>
      <c r="D113" s="65">
        <v>320069.59000000003</v>
      </c>
      <c r="E113" s="65">
        <v>0</v>
      </c>
      <c r="F113" s="66">
        <f t="shared" si="2"/>
        <v>320069.59000000003</v>
      </c>
      <c r="I113" s="67">
        <v>0</v>
      </c>
      <c r="J113" s="68">
        <v>320069.59000000003</v>
      </c>
    </row>
    <row r="114" spans="1:10" x14ac:dyDescent="0.25">
      <c r="A114" t="s">
        <v>67</v>
      </c>
      <c r="B114" s="63" t="s">
        <v>171</v>
      </c>
      <c r="C114" s="64">
        <v>37056</v>
      </c>
      <c r="D114" s="65">
        <v>15710</v>
      </c>
      <c r="E114" s="65">
        <v>15710</v>
      </c>
      <c r="F114" s="66">
        <f t="shared" si="2"/>
        <v>0</v>
      </c>
      <c r="I114" s="67">
        <v>15710</v>
      </c>
      <c r="J114" s="68">
        <v>0</v>
      </c>
    </row>
    <row r="115" spans="1:10" x14ac:dyDescent="0.25">
      <c r="A115" t="s">
        <v>67</v>
      </c>
      <c r="B115" s="63" t="s">
        <v>172</v>
      </c>
      <c r="C115" s="64">
        <v>37072</v>
      </c>
      <c r="D115" s="65">
        <v>17394</v>
      </c>
      <c r="E115" s="65">
        <v>17394</v>
      </c>
      <c r="F115" s="66">
        <f t="shared" si="2"/>
        <v>0</v>
      </c>
      <c r="I115" s="67">
        <v>17394</v>
      </c>
      <c r="J115" s="68">
        <v>0</v>
      </c>
    </row>
    <row r="116" spans="1:10" x14ac:dyDescent="0.25">
      <c r="A116" t="s">
        <v>67</v>
      </c>
      <c r="B116" s="63" t="s">
        <v>173</v>
      </c>
      <c r="C116" s="64">
        <v>37189</v>
      </c>
      <c r="D116" s="65">
        <v>10836</v>
      </c>
      <c r="E116" s="65">
        <v>10836</v>
      </c>
      <c r="F116" s="66">
        <f t="shared" si="2"/>
        <v>0</v>
      </c>
      <c r="I116" s="67">
        <v>10836</v>
      </c>
      <c r="J116" s="68">
        <v>0</v>
      </c>
    </row>
    <row r="117" spans="1:10" x14ac:dyDescent="0.25">
      <c r="A117" t="s">
        <v>67</v>
      </c>
      <c r="B117" s="63" t="s">
        <v>174</v>
      </c>
      <c r="C117" s="64">
        <v>37189</v>
      </c>
      <c r="D117" s="65">
        <v>17010.939999999999</v>
      </c>
      <c r="E117" s="65">
        <v>17010.939999999999</v>
      </c>
      <c r="F117" s="66">
        <f t="shared" si="2"/>
        <v>0</v>
      </c>
      <c r="I117" s="67">
        <v>17010.939999999999</v>
      </c>
      <c r="J117" s="68">
        <v>0</v>
      </c>
    </row>
    <row r="118" spans="1:10" x14ac:dyDescent="0.25">
      <c r="A118" s="72" t="s">
        <v>67</v>
      </c>
      <c r="B118" s="63" t="s">
        <v>175</v>
      </c>
      <c r="C118" s="64">
        <v>37225</v>
      </c>
      <c r="D118" s="65">
        <v>4316.25</v>
      </c>
      <c r="E118" s="65">
        <v>4316.25</v>
      </c>
      <c r="F118" s="66">
        <f t="shared" si="2"/>
        <v>0</v>
      </c>
      <c r="I118" s="67">
        <v>4316.25</v>
      </c>
      <c r="J118" s="68">
        <v>0</v>
      </c>
    </row>
    <row r="119" spans="1:10" x14ac:dyDescent="0.25">
      <c r="A119" t="s">
        <v>67</v>
      </c>
      <c r="B119" s="63" t="s">
        <v>176</v>
      </c>
      <c r="C119" s="64">
        <v>37421</v>
      </c>
      <c r="D119" s="65">
        <v>7900</v>
      </c>
      <c r="E119" s="65">
        <v>7900</v>
      </c>
      <c r="F119" s="66">
        <f t="shared" si="2"/>
        <v>0</v>
      </c>
      <c r="I119" s="67">
        <v>7900</v>
      </c>
      <c r="J119" s="68">
        <v>0</v>
      </c>
    </row>
    <row r="120" spans="1:10" x14ac:dyDescent="0.25">
      <c r="A120" t="s">
        <v>67</v>
      </c>
      <c r="B120" s="63" t="s">
        <v>177</v>
      </c>
      <c r="C120" s="64">
        <v>37421</v>
      </c>
      <c r="D120" s="65">
        <v>7900</v>
      </c>
      <c r="E120" s="65">
        <v>7900</v>
      </c>
      <c r="F120" s="66">
        <f t="shared" si="2"/>
        <v>0</v>
      </c>
      <c r="I120" s="67">
        <v>7900</v>
      </c>
      <c r="J120" s="68">
        <v>0</v>
      </c>
    </row>
    <row r="121" spans="1:10" x14ac:dyDescent="0.25">
      <c r="A121" t="s">
        <v>67</v>
      </c>
      <c r="B121" s="63" t="s">
        <v>178</v>
      </c>
      <c r="C121" s="64">
        <v>37437</v>
      </c>
      <c r="D121" s="65">
        <v>6053.48</v>
      </c>
      <c r="E121" s="65">
        <v>6053.48</v>
      </c>
      <c r="F121" s="66">
        <f t="shared" si="2"/>
        <v>0</v>
      </c>
      <c r="I121" s="67">
        <v>6053.48</v>
      </c>
      <c r="J121" s="68">
        <v>0</v>
      </c>
    </row>
    <row r="122" spans="1:10" x14ac:dyDescent="0.25">
      <c r="A122" t="s">
        <v>67</v>
      </c>
      <c r="B122" s="63" t="s">
        <v>179</v>
      </c>
      <c r="C122" s="64">
        <v>37437</v>
      </c>
      <c r="D122" s="65">
        <v>10500</v>
      </c>
      <c r="E122" s="65">
        <v>10500</v>
      </c>
      <c r="F122" s="66">
        <f t="shared" si="2"/>
        <v>0</v>
      </c>
      <c r="I122" s="67">
        <v>10500</v>
      </c>
      <c r="J122" s="68">
        <v>0</v>
      </c>
    </row>
    <row r="123" spans="1:10" x14ac:dyDescent="0.25">
      <c r="A123" t="s">
        <v>104</v>
      </c>
      <c r="B123" s="63" t="s">
        <v>180</v>
      </c>
      <c r="C123" s="64">
        <v>37437</v>
      </c>
      <c r="D123" s="65">
        <v>520171.05</v>
      </c>
      <c r="E123" s="65">
        <v>213270.1700000001</v>
      </c>
      <c r="F123" s="66">
        <f t="shared" si="2"/>
        <v>306900.87999999989</v>
      </c>
      <c r="I123" s="67">
        <v>213270.1700000001</v>
      </c>
      <c r="J123" s="68">
        <v>306900.87999999989</v>
      </c>
    </row>
    <row r="124" spans="1:10" x14ac:dyDescent="0.25">
      <c r="A124" t="s">
        <v>87</v>
      </c>
      <c r="B124" s="63" t="s">
        <v>181</v>
      </c>
      <c r="C124" s="64">
        <v>37437</v>
      </c>
      <c r="D124" s="65">
        <v>539885.46</v>
      </c>
      <c r="E124" s="65">
        <v>245947.88999999993</v>
      </c>
      <c r="F124" s="66">
        <f t="shared" si="2"/>
        <v>293937.57000000007</v>
      </c>
      <c r="I124" s="67">
        <v>245947.88999999993</v>
      </c>
      <c r="J124" s="68">
        <v>293937.57000000007</v>
      </c>
    </row>
    <row r="125" spans="1:10" x14ac:dyDescent="0.25">
      <c r="A125" t="s">
        <v>67</v>
      </c>
      <c r="B125" s="63" t="s">
        <v>182</v>
      </c>
      <c r="C125" s="64">
        <v>37509</v>
      </c>
      <c r="D125" s="65">
        <v>6200</v>
      </c>
      <c r="E125" s="65">
        <v>6200.0000000000009</v>
      </c>
      <c r="F125" s="66">
        <f t="shared" si="2"/>
        <v>0</v>
      </c>
      <c r="I125" s="67">
        <v>6200.0000000000009</v>
      </c>
      <c r="J125" s="68">
        <v>0</v>
      </c>
    </row>
    <row r="126" spans="1:10" x14ac:dyDescent="0.25">
      <c r="A126" t="s">
        <v>67</v>
      </c>
      <c r="B126" s="63" t="s">
        <v>183</v>
      </c>
      <c r="C126" s="64">
        <v>37477</v>
      </c>
      <c r="D126" s="65">
        <v>5956</v>
      </c>
      <c r="E126" s="65">
        <v>5956</v>
      </c>
      <c r="F126" s="66">
        <f t="shared" si="2"/>
        <v>0</v>
      </c>
      <c r="I126" s="67">
        <v>5956</v>
      </c>
      <c r="J126" s="68">
        <v>0</v>
      </c>
    </row>
    <row r="127" spans="1:10" x14ac:dyDescent="0.25">
      <c r="A127" t="s">
        <v>104</v>
      </c>
      <c r="B127" s="63" t="s">
        <v>184</v>
      </c>
      <c r="C127" s="64">
        <v>37802</v>
      </c>
      <c r="D127" s="65">
        <v>2646218</v>
      </c>
      <c r="E127" s="65">
        <v>1032025.0199999999</v>
      </c>
      <c r="F127" s="66">
        <f t="shared" si="2"/>
        <v>1614192.98</v>
      </c>
      <c r="I127" s="67">
        <v>1032025.0199999999</v>
      </c>
      <c r="J127" s="68">
        <v>1614192.98</v>
      </c>
    </row>
    <row r="128" spans="1:10" x14ac:dyDescent="0.25">
      <c r="A128" t="s">
        <v>67</v>
      </c>
      <c r="B128" s="63" t="s">
        <v>185</v>
      </c>
      <c r="C128" s="64">
        <v>37802</v>
      </c>
      <c r="D128" s="65">
        <v>50302</v>
      </c>
      <c r="E128" s="65">
        <v>49044.44999999999</v>
      </c>
      <c r="F128" s="66">
        <f t="shared" si="2"/>
        <v>1257.5500000000102</v>
      </c>
      <c r="I128" s="67">
        <v>49044.44999999999</v>
      </c>
      <c r="J128" s="68">
        <v>1257.5500000000102</v>
      </c>
    </row>
    <row r="129" spans="1:10" x14ac:dyDescent="0.25">
      <c r="A129" t="s">
        <v>67</v>
      </c>
      <c r="B129" s="63" t="s">
        <v>186</v>
      </c>
      <c r="C129" s="64">
        <v>37802</v>
      </c>
      <c r="D129" s="65">
        <v>50302</v>
      </c>
      <c r="E129" s="65">
        <v>49044.44999999999</v>
      </c>
      <c r="F129" s="66">
        <f t="shared" si="2"/>
        <v>1257.5500000000102</v>
      </c>
      <c r="I129" s="67">
        <v>49044.44999999999</v>
      </c>
      <c r="J129" s="68">
        <v>1257.5500000000102</v>
      </c>
    </row>
    <row r="130" spans="1:10" x14ac:dyDescent="0.25">
      <c r="A130" t="s">
        <v>67</v>
      </c>
      <c r="B130" s="63" t="s">
        <v>187</v>
      </c>
      <c r="C130" s="64">
        <v>37802</v>
      </c>
      <c r="D130" s="65">
        <v>114002</v>
      </c>
      <c r="E130" s="65">
        <v>111151.95000000006</v>
      </c>
      <c r="F130" s="66">
        <f t="shared" si="2"/>
        <v>2850.0499999999447</v>
      </c>
      <c r="I130" s="67">
        <v>111151.95000000006</v>
      </c>
      <c r="J130" s="68">
        <v>2850.0499999999447</v>
      </c>
    </row>
    <row r="131" spans="1:10" x14ac:dyDescent="0.25">
      <c r="A131" t="s">
        <v>59</v>
      </c>
      <c r="B131" s="63" t="s">
        <v>188</v>
      </c>
      <c r="C131" s="64">
        <v>37802</v>
      </c>
      <c r="D131" s="65">
        <v>74060</v>
      </c>
      <c r="E131" s="65">
        <v>0</v>
      </c>
      <c r="F131" s="66">
        <f t="shared" si="2"/>
        <v>74060</v>
      </c>
      <c r="I131" s="67">
        <v>0</v>
      </c>
      <c r="J131" s="68">
        <v>74060</v>
      </c>
    </row>
    <row r="132" spans="1:10" x14ac:dyDescent="0.25">
      <c r="A132" t="s">
        <v>67</v>
      </c>
      <c r="B132" s="63" t="s">
        <v>189</v>
      </c>
      <c r="C132" s="64">
        <v>37966</v>
      </c>
      <c r="D132" s="65">
        <v>7057</v>
      </c>
      <c r="E132" s="65">
        <v>7057</v>
      </c>
      <c r="F132" s="66">
        <f t="shared" si="2"/>
        <v>0</v>
      </c>
      <c r="I132" s="67">
        <v>7057</v>
      </c>
      <c r="J132" s="68">
        <v>0</v>
      </c>
    </row>
    <row r="133" spans="1:10" x14ac:dyDescent="0.25">
      <c r="A133" t="s">
        <v>67</v>
      </c>
      <c r="B133" s="63" t="s">
        <v>190</v>
      </c>
      <c r="C133" s="64">
        <v>37896</v>
      </c>
      <c r="D133" s="65">
        <v>5292</v>
      </c>
      <c r="E133" s="65">
        <v>5292</v>
      </c>
      <c r="F133" s="66">
        <f t="shared" si="2"/>
        <v>0</v>
      </c>
      <c r="I133" s="67">
        <v>5292</v>
      </c>
      <c r="J133" s="68">
        <v>0</v>
      </c>
    </row>
    <row r="134" spans="1:10" x14ac:dyDescent="0.25">
      <c r="A134" t="s">
        <v>104</v>
      </c>
      <c r="B134" s="63" t="s">
        <v>191</v>
      </c>
      <c r="C134" s="64">
        <v>38168</v>
      </c>
      <c r="D134" s="65">
        <v>109815</v>
      </c>
      <c r="E134" s="65">
        <v>0</v>
      </c>
      <c r="F134" s="66">
        <f t="shared" si="2"/>
        <v>109815</v>
      </c>
      <c r="I134" s="67">
        <v>0</v>
      </c>
      <c r="J134" s="68">
        <v>109815</v>
      </c>
    </row>
    <row r="135" spans="1:10" x14ac:dyDescent="0.25">
      <c r="A135" t="s">
        <v>67</v>
      </c>
      <c r="B135" s="63" t="s">
        <v>192</v>
      </c>
      <c r="C135" s="64">
        <v>38244</v>
      </c>
      <c r="D135" s="65">
        <v>20775</v>
      </c>
      <c r="E135" s="65">
        <v>20775</v>
      </c>
      <c r="F135" s="66">
        <f t="shared" si="2"/>
        <v>0</v>
      </c>
      <c r="I135" s="67">
        <v>20775</v>
      </c>
      <c r="J135" s="68">
        <v>0</v>
      </c>
    </row>
    <row r="136" spans="1:10" x14ac:dyDescent="0.25">
      <c r="A136" t="s">
        <v>104</v>
      </c>
      <c r="B136" s="63" t="s">
        <v>193</v>
      </c>
      <c r="C136" s="64">
        <v>38533</v>
      </c>
      <c r="D136" s="65">
        <v>53457</v>
      </c>
      <c r="E136" s="65">
        <v>0</v>
      </c>
      <c r="F136" s="66">
        <f t="shared" si="2"/>
        <v>53457</v>
      </c>
      <c r="I136" s="67">
        <v>0</v>
      </c>
      <c r="J136" s="68">
        <v>53457</v>
      </c>
    </row>
    <row r="137" spans="1:10" x14ac:dyDescent="0.25">
      <c r="A137" t="s">
        <v>87</v>
      </c>
      <c r="B137" s="63" t="s">
        <v>194</v>
      </c>
      <c r="C137" s="64">
        <v>38533</v>
      </c>
      <c r="D137" s="65">
        <v>3573002</v>
      </c>
      <c r="E137" s="65">
        <v>0</v>
      </c>
      <c r="F137" s="66">
        <f t="shared" si="2"/>
        <v>3573002</v>
      </c>
      <c r="I137" s="67">
        <v>0</v>
      </c>
      <c r="J137" s="68">
        <v>3573002</v>
      </c>
    </row>
    <row r="138" spans="1:10" x14ac:dyDescent="0.25">
      <c r="A138" t="s">
        <v>67</v>
      </c>
      <c r="B138" s="63" t="s">
        <v>195</v>
      </c>
      <c r="C138" s="64">
        <v>38564</v>
      </c>
      <c r="D138" s="65">
        <v>7900</v>
      </c>
      <c r="E138" s="65">
        <v>7900</v>
      </c>
      <c r="F138" s="66">
        <f t="shared" si="2"/>
        <v>0</v>
      </c>
      <c r="I138" s="67">
        <v>7900</v>
      </c>
      <c r="J138" s="68">
        <v>0</v>
      </c>
    </row>
    <row r="139" spans="1:10" x14ac:dyDescent="0.25">
      <c r="A139" t="s">
        <v>67</v>
      </c>
      <c r="B139" s="63" t="s">
        <v>196</v>
      </c>
      <c r="C139" s="64">
        <v>38898</v>
      </c>
      <c r="D139" s="69">
        <v>10625</v>
      </c>
      <c r="E139" s="65">
        <v>8765.7800000000007</v>
      </c>
      <c r="F139" s="66">
        <f t="shared" si="2"/>
        <v>1859.2199999999993</v>
      </c>
      <c r="G139" s="70" t="s">
        <v>55</v>
      </c>
      <c r="H139" s="71">
        <v>0.17</v>
      </c>
      <c r="I139" s="67">
        <v>8765.7800000000007</v>
      </c>
      <c r="J139" s="68">
        <v>1859.2199999999993</v>
      </c>
    </row>
    <row r="140" spans="1:10" x14ac:dyDescent="0.25">
      <c r="A140" t="s">
        <v>104</v>
      </c>
      <c r="B140" s="63" t="s">
        <v>197</v>
      </c>
      <c r="C140" s="64">
        <v>38898</v>
      </c>
      <c r="D140" s="65">
        <v>212356</v>
      </c>
      <c r="E140" s="65">
        <v>0</v>
      </c>
      <c r="F140" s="66">
        <f t="shared" si="2"/>
        <v>212356</v>
      </c>
      <c r="I140" s="67">
        <v>0</v>
      </c>
      <c r="J140" s="68">
        <v>212356</v>
      </c>
    </row>
    <row r="141" spans="1:10" x14ac:dyDescent="0.25">
      <c r="A141" t="s">
        <v>87</v>
      </c>
      <c r="B141" s="63" t="s">
        <v>198</v>
      </c>
      <c r="C141" s="64">
        <v>39263</v>
      </c>
      <c r="D141" s="65">
        <v>19414</v>
      </c>
      <c r="E141" s="65">
        <v>0</v>
      </c>
      <c r="F141" s="66">
        <f t="shared" si="2"/>
        <v>19414</v>
      </c>
      <c r="I141" s="67">
        <v>0</v>
      </c>
      <c r="J141" s="68">
        <v>19414</v>
      </c>
    </row>
    <row r="142" spans="1:10" x14ac:dyDescent="0.25">
      <c r="A142" t="s">
        <v>67</v>
      </c>
      <c r="B142" s="63" t="s">
        <v>199</v>
      </c>
      <c r="C142" s="64">
        <v>39263</v>
      </c>
      <c r="D142" s="65">
        <v>25010</v>
      </c>
      <c r="E142" s="65">
        <v>25010</v>
      </c>
      <c r="F142" s="66">
        <f t="shared" si="2"/>
        <v>0</v>
      </c>
      <c r="I142" s="67">
        <v>25010</v>
      </c>
      <c r="J142" s="68">
        <v>0</v>
      </c>
    </row>
    <row r="143" spans="1:10" x14ac:dyDescent="0.25">
      <c r="A143" t="s">
        <v>104</v>
      </c>
      <c r="B143" s="63" t="s">
        <v>200</v>
      </c>
      <c r="C143" s="64">
        <v>39263</v>
      </c>
      <c r="D143" s="65">
        <v>381946</v>
      </c>
      <c r="E143" s="65">
        <v>0</v>
      </c>
      <c r="F143" s="66">
        <f t="shared" si="2"/>
        <v>381946</v>
      </c>
      <c r="I143" s="67">
        <v>0</v>
      </c>
      <c r="J143" s="68">
        <v>381946</v>
      </c>
    </row>
    <row r="144" spans="1:10" x14ac:dyDescent="0.25">
      <c r="A144" t="s">
        <v>104</v>
      </c>
      <c r="B144" s="63" t="s">
        <v>201</v>
      </c>
      <c r="C144" s="64">
        <v>39263</v>
      </c>
      <c r="D144" s="65">
        <v>68394</v>
      </c>
      <c r="E144" s="65">
        <v>21202.140000000007</v>
      </c>
      <c r="F144" s="66">
        <f t="shared" si="2"/>
        <v>47191.859999999993</v>
      </c>
      <c r="I144" s="67">
        <v>21202.140000000007</v>
      </c>
      <c r="J144" s="68">
        <v>47191.859999999993</v>
      </c>
    </row>
    <row r="145" spans="1:10" x14ac:dyDescent="0.25">
      <c r="A145" t="s">
        <v>67</v>
      </c>
      <c r="B145" s="63" t="s">
        <v>202</v>
      </c>
      <c r="C145" s="64">
        <v>39263</v>
      </c>
      <c r="D145" s="65">
        <v>5528</v>
      </c>
      <c r="E145" s="65">
        <v>5528</v>
      </c>
      <c r="F145" s="66">
        <f t="shared" si="2"/>
        <v>0</v>
      </c>
      <c r="I145" s="67">
        <v>5528</v>
      </c>
      <c r="J145" s="68">
        <v>0</v>
      </c>
    </row>
    <row r="146" spans="1:10" x14ac:dyDescent="0.25">
      <c r="A146" t="s">
        <v>67</v>
      </c>
      <c r="B146" s="63" t="s">
        <v>203</v>
      </c>
      <c r="C146" s="64">
        <v>39629</v>
      </c>
      <c r="D146" s="65">
        <v>10479</v>
      </c>
      <c r="E146" s="65">
        <v>10479</v>
      </c>
      <c r="F146" s="66">
        <f t="shared" si="2"/>
        <v>0</v>
      </c>
      <c r="I146" s="67">
        <v>10479</v>
      </c>
      <c r="J146" s="68">
        <v>0</v>
      </c>
    </row>
    <row r="147" spans="1:10" x14ac:dyDescent="0.25">
      <c r="A147" t="s">
        <v>67</v>
      </c>
      <c r="B147" s="63" t="s">
        <v>204</v>
      </c>
      <c r="C147" s="64">
        <v>39629</v>
      </c>
      <c r="D147" s="65">
        <v>8846</v>
      </c>
      <c r="E147" s="65">
        <v>8846</v>
      </c>
      <c r="F147" s="66">
        <f t="shared" si="2"/>
        <v>0</v>
      </c>
      <c r="I147" s="67">
        <v>8846</v>
      </c>
      <c r="J147" s="68">
        <v>0</v>
      </c>
    </row>
    <row r="148" spans="1:10" x14ac:dyDescent="0.25">
      <c r="A148" t="s">
        <v>104</v>
      </c>
      <c r="B148" s="63" t="s">
        <v>205</v>
      </c>
      <c r="C148" s="64">
        <v>39629</v>
      </c>
      <c r="D148" s="65">
        <v>3191301</v>
      </c>
      <c r="E148" s="65">
        <v>0</v>
      </c>
      <c r="F148" s="66">
        <f t="shared" si="2"/>
        <v>3191301</v>
      </c>
      <c r="I148" s="67">
        <v>0</v>
      </c>
      <c r="J148" s="68">
        <v>3191301</v>
      </c>
    </row>
    <row r="149" spans="1:10" x14ac:dyDescent="0.25">
      <c r="A149" t="s">
        <v>87</v>
      </c>
      <c r="B149" s="63" t="s">
        <v>206</v>
      </c>
      <c r="C149" s="64">
        <v>39629</v>
      </c>
      <c r="D149" s="65">
        <v>809628</v>
      </c>
      <c r="E149" s="65">
        <v>0</v>
      </c>
      <c r="F149" s="66">
        <f t="shared" si="2"/>
        <v>809628</v>
      </c>
      <c r="I149" s="67">
        <v>0</v>
      </c>
      <c r="J149" s="68">
        <v>809628</v>
      </c>
    </row>
    <row r="150" spans="1:10" x14ac:dyDescent="0.25">
      <c r="A150" t="s">
        <v>104</v>
      </c>
      <c r="B150" s="63" t="s">
        <v>207</v>
      </c>
      <c r="C150" s="64">
        <v>39629</v>
      </c>
      <c r="D150" s="65">
        <v>1027555</v>
      </c>
      <c r="E150" s="65">
        <v>0</v>
      </c>
      <c r="F150" s="66">
        <f t="shared" si="2"/>
        <v>1027555</v>
      </c>
      <c r="I150" s="67">
        <v>0</v>
      </c>
      <c r="J150" s="68">
        <v>1027555</v>
      </c>
    </row>
    <row r="151" spans="1:10" x14ac:dyDescent="0.25">
      <c r="A151" t="s">
        <v>67</v>
      </c>
      <c r="B151" s="63" t="s">
        <v>208</v>
      </c>
      <c r="C151" s="64">
        <v>39994</v>
      </c>
      <c r="D151" s="65">
        <v>28944</v>
      </c>
      <c r="E151" s="65">
        <v>0</v>
      </c>
      <c r="F151" s="66">
        <f t="shared" si="2"/>
        <v>28944</v>
      </c>
      <c r="I151" s="67">
        <v>0</v>
      </c>
      <c r="J151" s="68">
        <v>28944</v>
      </c>
    </row>
    <row r="152" spans="1:10" x14ac:dyDescent="0.25">
      <c r="A152" t="s">
        <v>67</v>
      </c>
      <c r="B152" s="63" t="s">
        <v>209</v>
      </c>
      <c r="C152" s="64">
        <v>39994</v>
      </c>
      <c r="D152" s="65">
        <v>6327</v>
      </c>
      <c r="E152" s="65">
        <v>6327</v>
      </c>
      <c r="F152" s="66">
        <f t="shared" si="2"/>
        <v>0</v>
      </c>
      <c r="I152" s="67">
        <v>6327</v>
      </c>
      <c r="J152" s="68">
        <v>0</v>
      </c>
    </row>
    <row r="153" spans="1:10" x14ac:dyDescent="0.25">
      <c r="A153" t="s">
        <v>67</v>
      </c>
      <c r="B153" s="63" t="s">
        <v>210</v>
      </c>
      <c r="C153" s="64">
        <v>39994</v>
      </c>
      <c r="D153" s="65">
        <v>0</v>
      </c>
      <c r="E153" s="65">
        <v>0</v>
      </c>
      <c r="F153" s="66">
        <f t="shared" si="2"/>
        <v>0</v>
      </c>
      <c r="I153" s="67">
        <v>0</v>
      </c>
      <c r="J153" s="68">
        <v>0</v>
      </c>
    </row>
    <row r="154" spans="1:10" x14ac:dyDescent="0.25">
      <c r="A154" t="s">
        <v>104</v>
      </c>
      <c r="B154" s="63" t="s">
        <v>211</v>
      </c>
      <c r="C154" s="64">
        <v>39994</v>
      </c>
      <c r="D154" s="69"/>
      <c r="E154" s="65">
        <v>25281.450000000004</v>
      </c>
      <c r="F154" s="66"/>
      <c r="I154" s="67">
        <v>25281.450000000004</v>
      </c>
      <c r="J154" s="68">
        <v>68353.549999999988</v>
      </c>
    </row>
    <row r="155" spans="1:10" x14ac:dyDescent="0.25">
      <c r="A155" t="s">
        <v>87</v>
      </c>
      <c r="B155" s="63" t="s">
        <v>212</v>
      </c>
      <c r="C155" s="64">
        <v>39994</v>
      </c>
      <c r="D155" s="69">
        <v>1931599</v>
      </c>
      <c r="E155" s="65">
        <v>1303829.4599999997</v>
      </c>
      <c r="F155" s="66">
        <f t="shared" ref="F155:F184" si="3">+D155-E155</f>
        <v>627769.54000000027</v>
      </c>
      <c r="G155" s="70" t="s">
        <v>55</v>
      </c>
      <c r="H155" s="71">
        <v>0.33</v>
      </c>
      <c r="I155" s="67">
        <v>1303829.4599999997</v>
      </c>
      <c r="J155" s="68">
        <v>627769.54000000027</v>
      </c>
    </row>
    <row r="156" spans="1:10" x14ac:dyDescent="0.25">
      <c r="A156" t="s">
        <v>104</v>
      </c>
      <c r="B156" s="63" t="s">
        <v>213</v>
      </c>
      <c r="C156" s="64">
        <v>39994</v>
      </c>
      <c r="D156" s="69">
        <v>436690</v>
      </c>
      <c r="E156" s="65">
        <v>117906.30000000002</v>
      </c>
      <c r="F156" s="66">
        <f t="shared" si="3"/>
        <v>318783.69999999995</v>
      </c>
      <c r="G156" s="70" t="s">
        <v>55</v>
      </c>
      <c r="H156" s="71">
        <v>0.73</v>
      </c>
      <c r="I156" s="67">
        <v>117906.30000000002</v>
      </c>
      <c r="J156" s="68">
        <v>318783.69999999995</v>
      </c>
    </row>
    <row r="157" spans="1:10" x14ac:dyDescent="0.25">
      <c r="A157" t="s">
        <v>87</v>
      </c>
      <c r="B157" s="63" t="s">
        <v>214</v>
      </c>
      <c r="C157" s="64">
        <v>39994</v>
      </c>
      <c r="D157" s="69">
        <v>382000</v>
      </c>
      <c r="E157" s="65">
        <v>257850</v>
      </c>
      <c r="F157" s="66">
        <f t="shared" si="3"/>
        <v>124150</v>
      </c>
      <c r="G157" s="70" t="s">
        <v>55</v>
      </c>
      <c r="H157" s="71">
        <v>0.32</v>
      </c>
      <c r="I157" s="67">
        <v>257850</v>
      </c>
      <c r="J157" s="68">
        <v>124150</v>
      </c>
    </row>
    <row r="158" spans="1:10" x14ac:dyDescent="0.25">
      <c r="A158" t="s">
        <v>67</v>
      </c>
      <c r="B158" s="63" t="s">
        <v>215</v>
      </c>
      <c r="C158" s="64">
        <v>40359</v>
      </c>
      <c r="D158" s="65">
        <v>9624</v>
      </c>
      <c r="E158" s="65">
        <v>9624</v>
      </c>
      <c r="F158" s="66">
        <f t="shared" si="3"/>
        <v>0</v>
      </c>
      <c r="I158" s="67">
        <v>9624</v>
      </c>
      <c r="J158" s="68">
        <v>0</v>
      </c>
    </row>
    <row r="159" spans="1:10" x14ac:dyDescent="0.25">
      <c r="A159" t="s">
        <v>104</v>
      </c>
      <c r="B159" s="63" t="s">
        <v>216</v>
      </c>
      <c r="C159" s="64">
        <v>40359</v>
      </c>
      <c r="D159" s="69">
        <v>473351</v>
      </c>
      <c r="E159" s="65">
        <v>118337.75000000003</v>
      </c>
      <c r="F159" s="66">
        <f t="shared" si="3"/>
        <v>355013.25</v>
      </c>
      <c r="G159" s="70" t="s">
        <v>55</v>
      </c>
      <c r="H159" s="71">
        <v>0.75</v>
      </c>
      <c r="I159" s="67">
        <v>118337.75000000003</v>
      </c>
      <c r="J159" s="68">
        <v>355013.25</v>
      </c>
    </row>
    <row r="160" spans="1:10" x14ac:dyDescent="0.25">
      <c r="A160" t="s">
        <v>87</v>
      </c>
      <c r="B160" s="63" t="s">
        <v>217</v>
      </c>
      <c r="C160" s="64">
        <v>41090</v>
      </c>
      <c r="D160" s="65">
        <v>89590</v>
      </c>
      <c r="E160" s="65">
        <v>20904.339999999997</v>
      </c>
      <c r="F160" s="66">
        <f t="shared" si="3"/>
        <v>68685.66</v>
      </c>
      <c r="I160" s="67">
        <v>20904.339999999997</v>
      </c>
      <c r="J160" s="68">
        <v>68685.66</v>
      </c>
    </row>
    <row r="161" spans="1:10" x14ac:dyDescent="0.25">
      <c r="A161" t="s">
        <v>67</v>
      </c>
      <c r="B161" s="63" t="s">
        <v>218</v>
      </c>
      <c r="C161" s="64">
        <v>41090</v>
      </c>
      <c r="D161" s="65">
        <v>9690</v>
      </c>
      <c r="E161" s="65">
        <v>9690.0000000000018</v>
      </c>
      <c r="F161" s="66">
        <f t="shared" si="3"/>
        <v>0</v>
      </c>
      <c r="I161" s="67">
        <v>9690.0000000000018</v>
      </c>
      <c r="J161" s="68">
        <v>0</v>
      </c>
    </row>
    <row r="162" spans="1:10" x14ac:dyDescent="0.25">
      <c r="A162" t="s">
        <v>104</v>
      </c>
      <c r="B162" s="63" t="s">
        <v>219</v>
      </c>
      <c r="C162" s="64">
        <v>41090</v>
      </c>
      <c r="D162" s="65">
        <v>57026</v>
      </c>
      <c r="E162" s="65">
        <v>0</v>
      </c>
      <c r="F162" s="66">
        <f t="shared" si="3"/>
        <v>57026</v>
      </c>
      <c r="I162" s="67">
        <v>0</v>
      </c>
      <c r="J162" s="68">
        <v>57026</v>
      </c>
    </row>
    <row r="163" spans="1:10" x14ac:dyDescent="0.25">
      <c r="A163" t="s">
        <v>67</v>
      </c>
      <c r="B163" s="63" t="s">
        <v>220</v>
      </c>
      <c r="C163" s="64">
        <v>41455</v>
      </c>
      <c r="D163" s="65">
        <v>21936</v>
      </c>
      <c r="E163" s="65">
        <v>21936</v>
      </c>
      <c r="F163" s="66">
        <f t="shared" si="3"/>
        <v>0</v>
      </c>
      <c r="I163" s="67">
        <v>21936</v>
      </c>
      <c r="J163" s="68">
        <v>0</v>
      </c>
    </row>
    <row r="164" spans="1:10" x14ac:dyDescent="0.25">
      <c r="A164" s="72" t="s">
        <v>67</v>
      </c>
      <c r="B164" s="63" t="s">
        <v>221</v>
      </c>
      <c r="C164" s="64">
        <v>41820</v>
      </c>
      <c r="D164" s="65">
        <v>7290.25</v>
      </c>
      <c r="E164" s="65">
        <v>6561.23</v>
      </c>
      <c r="F164" s="66">
        <f t="shared" si="3"/>
        <v>729.02000000000044</v>
      </c>
      <c r="I164" s="67">
        <v>6561.23</v>
      </c>
      <c r="J164" s="68">
        <v>729.02000000000044</v>
      </c>
    </row>
    <row r="165" spans="1:10" x14ac:dyDescent="0.25">
      <c r="A165" t="s">
        <v>67</v>
      </c>
      <c r="B165" s="63" t="s">
        <v>222</v>
      </c>
      <c r="C165" s="64">
        <v>41820</v>
      </c>
      <c r="D165" s="65">
        <v>25636.06</v>
      </c>
      <c r="E165" s="65">
        <v>25636.06</v>
      </c>
      <c r="F165" s="66">
        <f t="shared" si="3"/>
        <v>0</v>
      </c>
      <c r="I165" s="67">
        <v>25636.06</v>
      </c>
      <c r="J165" s="68">
        <v>0</v>
      </c>
    </row>
    <row r="166" spans="1:10" x14ac:dyDescent="0.25">
      <c r="A166" t="s">
        <v>67</v>
      </c>
      <c r="B166" s="63" t="s">
        <v>223</v>
      </c>
      <c r="C166" s="64">
        <v>41963</v>
      </c>
      <c r="D166" s="65">
        <v>79029.03</v>
      </c>
      <c r="E166" s="65">
        <v>79029.03</v>
      </c>
      <c r="F166" s="66">
        <f t="shared" si="3"/>
        <v>0</v>
      </c>
      <c r="I166" s="67">
        <v>79029.03</v>
      </c>
      <c r="J166" s="68">
        <v>0</v>
      </c>
    </row>
    <row r="167" spans="1:10" x14ac:dyDescent="0.25">
      <c r="A167" s="73" t="s">
        <v>67</v>
      </c>
      <c r="B167" s="74" t="s">
        <v>224</v>
      </c>
      <c r="C167" s="75">
        <v>42185</v>
      </c>
      <c r="D167" s="76">
        <v>1981.58</v>
      </c>
      <c r="E167" s="76">
        <v>1981.58</v>
      </c>
      <c r="F167" s="66">
        <f t="shared" si="3"/>
        <v>0</v>
      </c>
      <c r="I167" s="77">
        <v>1981.58</v>
      </c>
      <c r="J167" s="68">
        <v>0</v>
      </c>
    </row>
    <row r="168" spans="1:10" x14ac:dyDescent="0.25">
      <c r="A168" t="s">
        <v>87</v>
      </c>
      <c r="B168" s="63" t="s">
        <v>225</v>
      </c>
      <c r="C168" s="64">
        <v>42185</v>
      </c>
      <c r="D168" s="65">
        <v>97689.73</v>
      </c>
      <c r="E168" s="65">
        <v>73267.297500000001</v>
      </c>
      <c r="F168" s="66">
        <f t="shared" si="3"/>
        <v>24422.432499999995</v>
      </c>
      <c r="I168" s="67">
        <v>73267.297500000001</v>
      </c>
      <c r="J168" s="68">
        <v>24422.432499999995</v>
      </c>
    </row>
    <row r="169" spans="1:10" x14ac:dyDescent="0.25">
      <c r="A169" t="s">
        <v>59</v>
      </c>
      <c r="B169" s="63" t="s">
        <v>226</v>
      </c>
      <c r="C169" s="64">
        <v>42185</v>
      </c>
      <c r="D169" s="65">
        <v>128581.78</v>
      </c>
      <c r="E169" s="65"/>
      <c r="F169" s="66">
        <f t="shared" si="3"/>
        <v>128581.78</v>
      </c>
      <c r="I169" s="67"/>
      <c r="J169" s="68">
        <v>128581.78</v>
      </c>
    </row>
    <row r="170" spans="1:10" x14ac:dyDescent="0.25">
      <c r="A170" t="s">
        <v>104</v>
      </c>
      <c r="B170" s="63" t="s">
        <v>227</v>
      </c>
      <c r="C170" s="64">
        <v>41820</v>
      </c>
      <c r="D170" s="65">
        <v>1134686.3999999999</v>
      </c>
      <c r="E170" s="65">
        <v>181549.82399999999</v>
      </c>
      <c r="F170" s="66">
        <f t="shared" si="3"/>
        <v>953136.57599999988</v>
      </c>
      <c r="I170" s="67">
        <v>181549.82399999999</v>
      </c>
      <c r="J170" s="68">
        <v>953136.57599999988</v>
      </c>
    </row>
    <row r="171" spans="1:10" x14ac:dyDescent="0.25">
      <c r="A171" t="s">
        <v>104</v>
      </c>
      <c r="B171" s="63" t="s">
        <v>228</v>
      </c>
      <c r="C171" s="64">
        <v>41820</v>
      </c>
      <c r="D171" s="65">
        <v>416228.8</v>
      </c>
      <c r="E171" s="65">
        <v>66596.607999999993</v>
      </c>
      <c r="F171" s="66">
        <f t="shared" si="3"/>
        <v>349632.19199999998</v>
      </c>
      <c r="I171" s="67">
        <v>66596.607999999993</v>
      </c>
      <c r="J171" s="68">
        <v>349632.19199999998</v>
      </c>
    </row>
    <row r="172" spans="1:10" x14ac:dyDescent="0.25">
      <c r="A172" t="s">
        <v>67</v>
      </c>
      <c r="B172" s="63" t="s">
        <v>229</v>
      </c>
      <c r="C172" s="64">
        <v>42185</v>
      </c>
      <c r="D172" s="65">
        <v>24249.97</v>
      </c>
      <c r="E172" s="65">
        <v>3879.9952000000008</v>
      </c>
      <c r="F172" s="66">
        <f t="shared" si="3"/>
        <v>20369.9748</v>
      </c>
      <c r="I172" s="67">
        <v>3879.9952000000008</v>
      </c>
      <c r="J172" s="68">
        <v>20369.9748</v>
      </c>
    </row>
    <row r="173" spans="1:10" x14ac:dyDescent="0.25">
      <c r="A173" t="s">
        <v>67</v>
      </c>
      <c r="B173" s="63" t="s">
        <v>229</v>
      </c>
      <c r="C173" s="64">
        <v>42185</v>
      </c>
      <c r="D173" s="65">
        <v>73050</v>
      </c>
      <c r="E173" s="65">
        <v>11688</v>
      </c>
      <c r="F173" s="66">
        <f t="shared" si="3"/>
        <v>61362</v>
      </c>
      <c r="I173" s="67">
        <v>11688</v>
      </c>
      <c r="J173" s="68">
        <v>61362</v>
      </c>
    </row>
    <row r="174" spans="1:10" x14ac:dyDescent="0.25">
      <c r="A174" s="72" t="s">
        <v>67</v>
      </c>
      <c r="B174" s="78" t="s">
        <v>230</v>
      </c>
      <c r="C174" s="79">
        <v>42460</v>
      </c>
      <c r="D174" s="65">
        <v>2166.67</v>
      </c>
      <c r="E174" s="65">
        <v>2011.9042857142858</v>
      </c>
      <c r="F174" s="66">
        <f t="shared" si="3"/>
        <v>154.76571428571424</v>
      </c>
      <c r="I174" s="67">
        <v>2011.9042857142858</v>
      </c>
      <c r="J174" s="68">
        <v>154.76571428571424</v>
      </c>
    </row>
    <row r="175" spans="1:10" x14ac:dyDescent="0.25">
      <c r="A175" t="s">
        <v>67</v>
      </c>
      <c r="B175" s="78" t="s">
        <v>231</v>
      </c>
      <c r="C175" s="79">
        <v>42429</v>
      </c>
      <c r="D175" s="65">
        <v>6707.25</v>
      </c>
      <c r="E175" s="65">
        <v>2906.4750000000004</v>
      </c>
      <c r="F175" s="66">
        <f t="shared" si="3"/>
        <v>3800.7749999999996</v>
      </c>
      <c r="I175" s="67">
        <v>2906.4750000000004</v>
      </c>
      <c r="J175" s="68">
        <v>3800.7749999999996</v>
      </c>
    </row>
    <row r="176" spans="1:10" x14ac:dyDescent="0.25">
      <c r="A176" t="s">
        <v>67</v>
      </c>
      <c r="B176" t="s">
        <v>232</v>
      </c>
      <c r="C176" s="79">
        <v>42613</v>
      </c>
      <c r="D176" s="65">
        <v>6526</v>
      </c>
      <c r="E176" s="65">
        <v>2392.8666666666668</v>
      </c>
      <c r="F176" s="66">
        <f t="shared" si="3"/>
        <v>4133.1333333333332</v>
      </c>
      <c r="I176" s="67">
        <v>2392.8666666666668</v>
      </c>
      <c r="J176" s="68">
        <v>4133.1333333333332</v>
      </c>
    </row>
    <row r="177" spans="1:10" x14ac:dyDescent="0.25">
      <c r="A177" s="72" t="s">
        <v>67</v>
      </c>
      <c r="B177" t="s">
        <v>233</v>
      </c>
      <c r="C177" s="79">
        <v>42783</v>
      </c>
      <c r="D177" s="65">
        <v>1614.25</v>
      </c>
      <c r="E177" s="65">
        <v>1268.3371428571429</v>
      </c>
      <c r="F177" s="66">
        <f t="shared" si="3"/>
        <v>345.91285714285709</v>
      </c>
      <c r="I177" s="67">
        <v>1268.3371428571429</v>
      </c>
      <c r="J177" s="68">
        <v>345.91285714285709</v>
      </c>
    </row>
    <row r="178" spans="1:10" x14ac:dyDescent="0.25">
      <c r="A178" t="s">
        <v>87</v>
      </c>
      <c r="B178" t="s">
        <v>234</v>
      </c>
      <c r="C178" s="79">
        <v>42916</v>
      </c>
      <c r="D178" s="65">
        <v>19882.5</v>
      </c>
      <c r="E178" s="65">
        <v>3645.125</v>
      </c>
      <c r="F178" s="66">
        <f t="shared" si="3"/>
        <v>16237.375</v>
      </c>
      <c r="I178" s="67">
        <v>3645.125</v>
      </c>
      <c r="J178" s="68">
        <v>16237.375</v>
      </c>
    </row>
    <row r="179" spans="1:10" x14ac:dyDescent="0.25">
      <c r="A179" t="s">
        <v>67</v>
      </c>
      <c r="B179" t="s">
        <v>235</v>
      </c>
      <c r="C179" s="79">
        <v>42908</v>
      </c>
      <c r="D179" s="65">
        <v>11242</v>
      </c>
      <c r="E179" s="65">
        <v>4122.0666666666666</v>
      </c>
      <c r="F179" s="66">
        <f t="shared" si="3"/>
        <v>7119.9333333333334</v>
      </c>
      <c r="I179" s="67">
        <v>4122.0666666666666</v>
      </c>
      <c r="J179" s="68">
        <v>7119.9333333333334</v>
      </c>
    </row>
    <row r="180" spans="1:10" x14ac:dyDescent="0.25">
      <c r="A180" t="s">
        <v>67</v>
      </c>
      <c r="B180" t="s">
        <v>236</v>
      </c>
      <c r="C180" s="79">
        <v>42916</v>
      </c>
      <c r="D180" s="65">
        <v>10061.17</v>
      </c>
      <c r="E180" s="65">
        <v>7905.2049999999999</v>
      </c>
      <c r="F180" s="66">
        <f t="shared" si="3"/>
        <v>2155.9650000000001</v>
      </c>
      <c r="I180" s="67">
        <v>7905.2049999999999</v>
      </c>
      <c r="J180" s="68">
        <v>2155.9650000000001</v>
      </c>
    </row>
    <row r="181" spans="1:10" x14ac:dyDescent="0.25">
      <c r="A181" s="72" t="s">
        <v>67</v>
      </c>
      <c r="B181" t="s">
        <v>237</v>
      </c>
      <c r="C181" s="79">
        <v>42886</v>
      </c>
      <c r="D181" s="65">
        <v>2899.75</v>
      </c>
      <c r="E181" s="65">
        <v>2899.75</v>
      </c>
      <c r="F181" s="66">
        <f t="shared" si="3"/>
        <v>0</v>
      </c>
      <c r="I181" s="67">
        <v>2899.75</v>
      </c>
      <c r="J181" s="68">
        <v>0</v>
      </c>
    </row>
    <row r="182" spans="1:10" x14ac:dyDescent="0.25">
      <c r="A182" t="s">
        <v>87</v>
      </c>
      <c r="B182" t="s">
        <v>238</v>
      </c>
      <c r="C182" s="79">
        <v>42916</v>
      </c>
      <c r="D182" s="65">
        <v>649044.57999999996</v>
      </c>
      <c r="E182" s="65">
        <v>0</v>
      </c>
      <c r="F182" s="66">
        <f t="shared" si="3"/>
        <v>649044.57999999996</v>
      </c>
      <c r="I182" s="67">
        <v>0</v>
      </c>
      <c r="J182" s="68">
        <v>649044.57999999996</v>
      </c>
    </row>
    <row r="183" spans="1:10" x14ac:dyDescent="0.25">
      <c r="A183" t="s">
        <v>87</v>
      </c>
      <c r="B183" t="s">
        <v>239</v>
      </c>
      <c r="C183" s="79">
        <v>42916</v>
      </c>
      <c r="D183" s="65">
        <v>2262028.9900000002</v>
      </c>
      <c r="E183" s="65">
        <v>311028.986125</v>
      </c>
      <c r="F183" s="66">
        <f t="shared" si="3"/>
        <v>1951000.0038750002</v>
      </c>
      <c r="I183" s="67">
        <v>311028.986125</v>
      </c>
      <c r="J183" s="68">
        <v>1951000.0038750002</v>
      </c>
    </row>
    <row r="184" spans="1:10" x14ac:dyDescent="0.25">
      <c r="A184" t="s">
        <v>87</v>
      </c>
      <c r="B184" t="s">
        <v>240</v>
      </c>
      <c r="C184" s="79">
        <v>43054</v>
      </c>
      <c r="D184" s="65">
        <v>12425</v>
      </c>
      <c r="E184" s="65">
        <v>2236.5</v>
      </c>
      <c r="F184" s="66">
        <f t="shared" si="3"/>
        <v>10188.5</v>
      </c>
      <c r="I184" s="67">
        <v>2236.5</v>
      </c>
      <c r="J184" s="68">
        <v>10188.5</v>
      </c>
    </row>
    <row r="185" spans="1:10" x14ac:dyDescent="0.25">
      <c r="A185" s="72" t="s">
        <v>67</v>
      </c>
      <c r="B185" t="s">
        <v>241</v>
      </c>
      <c r="C185" s="79">
        <v>43069</v>
      </c>
      <c r="D185" s="69"/>
      <c r="E185" s="65">
        <v>1660.3470000000002</v>
      </c>
      <c r="F185" s="66"/>
      <c r="I185" s="67">
        <v>1660.3470000000002</v>
      </c>
      <c r="J185" s="68">
        <v>184.48299999999972</v>
      </c>
    </row>
    <row r="186" spans="1:10" x14ac:dyDescent="0.25">
      <c r="A186" t="s">
        <v>67</v>
      </c>
      <c r="B186" t="s">
        <v>242</v>
      </c>
      <c r="C186" s="79">
        <v>43281</v>
      </c>
      <c r="D186" s="65">
        <v>11215</v>
      </c>
      <c r="E186" s="65">
        <v>10093.5</v>
      </c>
      <c r="F186" s="66">
        <f t="shared" ref="F186:F197" si="4">+D186-E186</f>
        <v>1121.5</v>
      </c>
      <c r="I186" s="67">
        <v>10093.5</v>
      </c>
      <c r="J186" s="68">
        <v>1121.5</v>
      </c>
    </row>
    <row r="187" spans="1:10" x14ac:dyDescent="0.25">
      <c r="A187" t="s">
        <v>87</v>
      </c>
      <c r="B187" t="s">
        <v>243</v>
      </c>
      <c r="C187" s="79">
        <v>43281</v>
      </c>
      <c r="D187" s="65">
        <v>10148.959999999999</v>
      </c>
      <c r="E187" s="65">
        <v>1522.3439999999998</v>
      </c>
      <c r="F187" s="66">
        <f t="shared" si="4"/>
        <v>8626.616</v>
      </c>
      <c r="I187" s="67">
        <v>1522.3439999999998</v>
      </c>
      <c r="J187" s="68">
        <v>8626.616</v>
      </c>
    </row>
    <row r="188" spans="1:10" x14ac:dyDescent="0.25">
      <c r="A188" t="s">
        <v>67</v>
      </c>
      <c r="B188" t="s">
        <v>244</v>
      </c>
      <c r="C188" s="79">
        <v>43281</v>
      </c>
      <c r="D188" s="65">
        <v>271415.59000000003</v>
      </c>
      <c r="E188" s="65">
        <f>D188/2</f>
        <v>135707.79500000001</v>
      </c>
      <c r="F188" s="66">
        <f t="shared" si="4"/>
        <v>135707.79500000001</v>
      </c>
      <c r="I188" s="67">
        <v>135707.79500000001</v>
      </c>
      <c r="J188" s="68">
        <v>135707.79500000001</v>
      </c>
    </row>
    <row r="189" spans="1:10" x14ac:dyDescent="0.25">
      <c r="A189" t="s">
        <v>67</v>
      </c>
      <c r="B189" t="s">
        <v>245</v>
      </c>
      <c r="C189" s="79">
        <v>43281</v>
      </c>
      <c r="D189" s="65">
        <v>412453.28</v>
      </c>
      <c r="E189" s="65">
        <v>412453.28</v>
      </c>
      <c r="F189" s="66">
        <f t="shared" si="4"/>
        <v>0</v>
      </c>
      <c r="I189" s="67">
        <v>412453.28</v>
      </c>
      <c r="J189" s="68">
        <v>0</v>
      </c>
    </row>
    <row r="190" spans="1:10" x14ac:dyDescent="0.25">
      <c r="A190" t="s">
        <v>67</v>
      </c>
      <c r="B190" t="s">
        <v>246</v>
      </c>
      <c r="C190" s="79">
        <v>43440</v>
      </c>
      <c r="D190" s="65">
        <v>7045</v>
      </c>
      <c r="E190" s="65">
        <v>4931.5</v>
      </c>
      <c r="F190" s="66">
        <f t="shared" si="4"/>
        <v>2113.5</v>
      </c>
      <c r="I190" s="67">
        <v>4931.5</v>
      </c>
      <c r="J190" s="68">
        <v>2113.5</v>
      </c>
    </row>
    <row r="191" spans="1:10" x14ac:dyDescent="0.25">
      <c r="A191" t="s">
        <v>67</v>
      </c>
      <c r="B191" t="s">
        <v>247</v>
      </c>
      <c r="C191" s="79">
        <v>43588</v>
      </c>
      <c r="D191" s="65">
        <v>21706</v>
      </c>
      <c r="E191" s="65">
        <v>15194.2</v>
      </c>
      <c r="F191" s="66">
        <f t="shared" si="4"/>
        <v>6511.7999999999993</v>
      </c>
      <c r="I191" s="67">
        <v>15194.2</v>
      </c>
      <c r="J191" s="68">
        <v>6511.7999999999993</v>
      </c>
    </row>
    <row r="192" spans="1:10" x14ac:dyDescent="0.25">
      <c r="A192" t="s">
        <v>67</v>
      </c>
      <c r="B192" t="s">
        <v>248</v>
      </c>
      <c r="C192" s="79">
        <v>43615</v>
      </c>
      <c r="D192" s="65">
        <v>30285</v>
      </c>
      <c r="E192" s="65">
        <v>7066.5</v>
      </c>
      <c r="F192" s="66">
        <f t="shared" si="4"/>
        <v>23218.5</v>
      </c>
      <c r="I192" s="67">
        <v>7066.5</v>
      </c>
      <c r="J192" s="68">
        <v>23218.5</v>
      </c>
    </row>
    <row r="193" spans="1:10" x14ac:dyDescent="0.25">
      <c r="A193" t="s">
        <v>67</v>
      </c>
      <c r="B193" t="s">
        <v>249</v>
      </c>
      <c r="C193" s="79">
        <v>43616</v>
      </c>
      <c r="D193" s="65">
        <v>20665.47</v>
      </c>
      <c r="E193" s="65">
        <v>14465.829000000002</v>
      </c>
      <c r="F193" s="66">
        <f t="shared" si="4"/>
        <v>6199.6409999999996</v>
      </c>
      <c r="I193" s="67">
        <v>14465.829000000002</v>
      </c>
      <c r="J193" s="68">
        <v>6199.6409999999996</v>
      </c>
    </row>
    <row r="194" spans="1:10" x14ac:dyDescent="0.25">
      <c r="A194" s="72" t="s">
        <v>67</v>
      </c>
      <c r="B194" t="s">
        <v>250</v>
      </c>
      <c r="C194" s="79">
        <v>43646</v>
      </c>
      <c r="D194" s="65">
        <v>56155.86</v>
      </c>
      <c r="E194" s="65">
        <v>56155.86</v>
      </c>
      <c r="F194" s="66">
        <f t="shared" si="4"/>
        <v>0</v>
      </c>
      <c r="I194" s="67">
        <v>56155.86</v>
      </c>
      <c r="J194" s="68">
        <v>0</v>
      </c>
    </row>
    <row r="195" spans="1:10" x14ac:dyDescent="0.25">
      <c r="A195" s="72" t="s">
        <v>67</v>
      </c>
      <c r="B195" s="63" t="s">
        <v>251</v>
      </c>
      <c r="C195" s="64">
        <v>43720</v>
      </c>
      <c r="D195" s="65">
        <v>3773.46</v>
      </c>
      <c r="E195" s="65">
        <v>1347.6648214285719</v>
      </c>
      <c r="F195" s="66">
        <f t="shared" si="4"/>
        <v>2425.7951785714281</v>
      </c>
      <c r="I195" s="67">
        <v>1347.6648214285719</v>
      </c>
      <c r="J195" s="68">
        <v>2425.7951785714281</v>
      </c>
    </row>
    <row r="196" spans="1:10" x14ac:dyDescent="0.25">
      <c r="A196" t="s">
        <v>67</v>
      </c>
      <c r="B196" s="63" t="s">
        <v>252</v>
      </c>
      <c r="C196" s="64">
        <v>43756</v>
      </c>
      <c r="D196" s="65">
        <v>11000</v>
      </c>
      <c r="E196" s="65">
        <v>11000</v>
      </c>
      <c r="F196" s="66">
        <f t="shared" si="4"/>
        <v>0</v>
      </c>
      <c r="I196" s="67">
        <v>11000</v>
      </c>
      <c r="J196" s="68">
        <v>0</v>
      </c>
    </row>
    <row r="197" spans="1:10" x14ac:dyDescent="0.25">
      <c r="A197" s="72" t="s">
        <v>67</v>
      </c>
      <c r="B197" s="63" t="s">
        <v>253</v>
      </c>
      <c r="C197" s="64">
        <v>43896</v>
      </c>
      <c r="D197" s="65">
        <v>1964.5</v>
      </c>
      <c r="E197" s="65">
        <v>982.25</v>
      </c>
      <c r="F197" s="66">
        <f t="shared" si="4"/>
        <v>982.25</v>
      </c>
      <c r="I197" s="67">
        <v>982.25</v>
      </c>
      <c r="J197" s="68">
        <v>982.25</v>
      </c>
    </row>
    <row r="198" spans="1:10" x14ac:dyDescent="0.25">
      <c r="A198" t="s">
        <v>67</v>
      </c>
      <c r="B198" s="63" t="s">
        <v>254</v>
      </c>
      <c r="C198" s="64">
        <v>43924</v>
      </c>
      <c r="D198" s="69"/>
      <c r="E198" s="65">
        <v>8475</v>
      </c>
      <c r="F198" s="66"/>
      <c r="I198" s="67">
        <v>8475</v>
      </c>
      <c r="J198" s="68">
        <v>8475</v>
      </c>
    </row>
    <row r="199" spans="1:10" x14ac:dyDescent="0.25">
      <c r="A199" s="72" t="s">
        <v>67</v>
      </c>
      <c r="B199" s="63" t="s">
        <v>255</v>
      </c>
      <c r="C199" s="64">
        <v>43952</v>
      </c>
      <c r="D199" s="65">
        <v>2693.65</v>
      </c>
      <c r="E199" s="65">
        <v>673.41250000000002</v>
      </c>
      <c r="F199" s="66">
        <f>+D199-E199</f>
        <v>2020.2375000000002</v>
      </c>
      <c r="I199" s="67">
        <v>673.41250000000002</v>
      </c>
      <c r="J199" s="68">
        <v>2020.2375000000002</v>
      </c>
    </row>
    <row r="200" spans="1:10" x14ac:dyDescent="0.25">
      <c r="A200" t="s">
        <v>67</v>
      </c>
      <c r="B200" s="63" t="s">
        <v>256</v>
      </c>
      <c r="C200" s="64">
        <v>43973</v>
      </c>
      <c r="D200" s="69"/>
      <c r="E200" s="65">
        <v>3395.3100000000004</v>
      </c>
      <c r="F200" s="66"/>
      <c r="I200" s="67">
        <v>3395.3100000000004</v>
      </c>
      <c r="J200" s="68">
        <v>3395.3099999999995</v>
      </c>
    </row>
    <row r="201" spans="1:10" x14ac:dyDescent="0.25">
      <c r="A201" t="s">
        <v>67</v>
      </c>
      <c r="B201" s="63" t="s">
        <v>257</v>
      </c>
      <c r="C201" s="64">
        <v>44012</v>
      </c>
      <c r="D201" s="65">
        <v>5063.75</v>
      </c>
      <c r="E201" s="65">
        <v>0</v>
      </c>
      <c r="F201" s="66">
        <f>+D201-E201</f>
        <v>5063.75</v>
      </c>
      <c r="I201" s="67">
        <v>0</v>
      </c>
      <c r="J201" s="68">
        <v>5063.75</v>
      </c>
    </row>
    <row r="202" spans="1:10" x14ac:dyDescent="0.25">
      <c r="A202" t="s">
        <v>67</v>
      </c>
      <c r="B202" t="s">
        <v>258</v>
      </c>
      <c r="C202" s="64">
        <v>44237</v>
      </c>
      <c r="D202" s="65">
        <v>5731.99</v>
      </c>
      <c r="E202" s="65">
        <v>573.19899999999996</v>
      </c>
      <c r="F202" s="66">
        <f>+D202-E202</f>
        <v>5158.7910000000002</v>
      </c>
      <c r="I202" s="67">
        <v>573.19899999999996</v>
      </c>
      <c r="J202" s="68">
        <v>5158.7910000000002</v>
      </c>
    </row>
    <row r="203" spans="1:10" x14ac:dyDescent="0.25">
      <c r="A203" s="72" t="s">
        <v>67</v>
      </c>
      <c r="B203" t="s">
        <v>259</v>
      </c>
      <c r="C203" s="64">
        <v>44342</v>
      </c>
      <c r="D203" s="69"/>
      <c r="E203" s="65">
        <v>3572.908375</v>
      </c>
      <c r="F203" s="66"/>
      <c r="I203" s="67">
        <v>3572.908375</v>
      </c>
      <c r="J203" s="68">
        <v>20246.481625</v>
      </c>
    </row>
    <row r="204" spans="1:10" x14ac:dyDescent="0.25">
      <c r="A204" t="s">
        <v>87</v>
      </c>
      <c r="B204" t="s">
        <v>260</v>
      </c>
      <c r="C204" s="64">
        <v>44349</v>
      </c>
      <c r="D204" s="65">
        <v>31492</v>
      </c>
      <c r="E204" s="65">
        <v>1574.6</v>
      </c>
      <c r="F204" s="66">
        <f>+D204-E204</f>
        <v>29917.4</v>
      </c>
      <c r="I204" s="67">
        <v>1574.6</v>
      </c>
      <c r="J204" s="68">
        <v>29917.4</v>
      </c>
    </row>
    <row r="205" spans="1:10" x14ac:dyDescent="0.25">
      <c r="A205" s="72" t="s">
        <v>67</v>
      </c>
      <c r="B205" t="s">
        <v>261</v>
      </c>
      <c r="C205" s="64">
        <v>44354</v>
      </c>
      <c r="D205" s="69"/>
      <c r="E205" s="65">
        <v>481.80839285714279</v>
      </c>
      <c r="F205" s="66"/>
      <c r="I205" s="67">
        <v>481.80839285714279</v>
      </c>
      <c r="J205" s="68">
        <v>1766.6316071428573</v>
      </c>
    </row>
    <row r="206" spans="1:10" x14ac:dyDescent="0.25">
      <c r="A206" t="s">
        <v>67</v>
      </c>
      <c r="B206" t="s">
        <v>262</v>
      </c>
      <c r="C206" s="64">
        <v>44383</v>
      </c>
      <c r="D206" s="69"/>
      <c r="E206" s="65">
        <v>13518.397000000001</v>
      </c>
      <c r="F206" s="66"/>
      <c r="I206" s="67">
        <v>13518.397000000001</v>
      </c>
      <c r="J206" s="68">
        <v>121665.573</v>
      </c>
    </row>
    <row r="207" spans="1:10" x14ac:dyDescent="0.25">
      <c r="A207" t="s">
        <v>67</v>
      </c>
      <c r="B207" t="s">
        <v>263</v>
      </c>
      <c r="C207" s="64">
        <v>44455</v>
      </c>
      <c r="D207" s="65">
        <v>5280</v>
      </c>
      <c r="E207" s="65">
        <v>528</v>
      </c>
      <c r="F207" s="66">
        <f t="shared" ref="F207:F230" si="5">+D207-E207</f>
        <v>4752</v>
      </c>
      <c r="I207" s="67">
        <v>528</v>
      </c>
      <c r="J207" s="68">
        <v>4752</v>
      </c>
    </row>
    <row r="208" spans="1:10" x14ac:dyDescent="0.25">
      <c r="A208" t="s">
        <v>67</v>
      </c>
      <c r="B208" t="s">
        <v>264</v>
      </c>
      <c r="C208" s="64">
        <v>44630</v>
      </c>
      <c r="D208" s="65">
        <v>6179</v>
      </c>
      <c r="E208" s="65">
        <v>6179</v>
      </c>
      <c r="F208" s="66">
        <f t="shared" si="5"/>
        <v>0</v>
      </c>
      <c r="I208" s="67">
        <v>6179</v>
      </c>
      <c r="J208" s="68">
        <v>0</v>
      </c>
    </row>
    <row r="209" spans="1:10" x14ac:dyDescent="0.25">
      <c r="A209" t="s">
        <v>67</v>
      </c>
      <c r="B209" t="s">
        <v>265</v>
      </c>
      <c r="C209" s="64">
        <v>44679</v>
      </c>
      <c r="D209" s="65">
        <v>17236.599999999999</v>
      </c>
      <c r="E209" s="65">
        <v>1723.6599999999999</v>
      </c>
      <c r="F209" s="66">
        <f t="shared" si="5"/>
        <v>15512.939999999999</v>
      </c>
      <c r="I209" s="67">
        <v>1723.6599999999999</v>
      </c>
      <c r="J209" s="68">
        <v>15512.939999999999</v>
      </c>
    </row>
    <row r="210" spans="1:10" x14ac:dyDescent="0.25">
      <c r="A210" t="s">
        <v>59</v>
      </c>
      <c r="B210" t="s">
        <v>266</v>
      </c>
      <c r="C210" s="64">
        <v>44742</v>
      </c>
      <c r="D210" s="65">
        <v>477742.39</v>
      </c>
      <c r="E210" s="65">
        <v>0</v>
      </c>
      <c r="F210" s="66">
        <f t="shared" si="5"/>
        <v>477742.39</v>
      </c>
      <c r="I210" s="67">
        <v>0</v>
      </c>
      <c r="J210" s="68">
        <v>477742.39</v>
      </c>
    </row>
    <row r="211" spans="1:10" x14ac:dyDescent="0.25">
      <c r="A211" t="s">
        <v>267</v>
      </c>
      <c r="B211" t="s">
        <v>268</v>
      </c>
      <c r="C211" s="79">
        <v>43646</v>
      </c>
      <c r="D211" s="65">
        <v>446237.57999999996</v>
      </c>
      <c r="E211" s="65"/>
      <c r="F211" s="66">
        <f t="shared" si="5"/>
        <v>446237.57999999996</v>
      </c>
      <c r="I211" s="67"/>
      <c r="J211" s="68">
        <v>446237.57999999996</v>
      </c>
    </row>
    <row r="212" spans="1:10" x14ac:dyDescent="0.25">
      <c r="A212" t="s">
        <v>267</v>
      </c>
      <c r="B212" t="s">
        <v>269</v>
      </c>
      <c r="C212" s="79">
        <v>43646</v>
      </c>
      <c r="D212" s="65">
        <v>149235.5</v>
      </c>
      <c r="E212" s="65"/>
      <c r="F212" s="66">
        <f t="shared" si="5"/>
        <v>149235.5</v>
      </c>
      <c r="I212" s="67"/>
      <c r="J212" s="68">
        <v>149235.5</v>
      </c>
    </row>
    <row r="213" spans="1:10" x14ac:dyDescent="0.25">
      <c r="A213" t="s">
        <v>267</v>
      </c>
      <c r="B213" t="s">
        <v>270</v>
      </c>
      <c r="C213" s="64">
        <v>44012</v>
      </c>
      <c r="D213" s="65">
        <v>234008.53999999998</v>
      </c>
      <c r="E213" s="65">
        <f>D213*0.03</f>
        <v>7020.2561999999989</v>
      </c>
      <c r="F213" s="66">
        <f t="shared" si="5"/>
        <v>226988.28379999998</v>
      </c>
      <c r="I213" s="67">
        <v>7020.2561999999989</v>
      </c>
      <c r="J213" s="68">
        <v>226988.28379999998</v>
      </c>
    </row>
    <row r="214" spans="1:10" x14ac:dyDescent="0.25">
      <c r="A214" t="s">
        <v>267</v>
      </c>
      <c r="B214" t="s">
        <v>271</v>
      </c>
      <c r="C214" s="64">
        <v>44012</v>
      </c>
      <c r="D214" s="65">
        <v>583206.88</v>
      </c>
      <c r="E214" s="65">
        <v>0</v>
      </c>
      <c r="F214" s="66">
        <f t="shared" si="5"/>
        <v>583206.88</v>
      </c>
      <c r="I214" s="67">
        <v>0</v>
      </c>
      <c r="J214" s="68">
        <v>583206.88</v>
      </c>
    </row>
    <row r="215" spans="1:10" x14ac:dyDescent="0.25">
      <c r="A215" t="s">
        <v>267</v>
      </c>
      <c r="B215" t="s">
        <v>272</v>
      </c>
      <c r="C215" s="64">
        <v>44012</v>
      </c>
      <c r="D215" s="65">
        <v>185212.45</v>
      </c>
      <c r="E215" s="65">
        <v>0</v>
      </c>
      <c r="F215" s="66">
        <f t="shared" si="5"/>
        <v>185212.45</v>
      </c>
      <c r="I215" s="67">
        <v>0</v>
      </c>
      <c r="J215" s="68">
        <v>185212.45</v>
      </c>
    </row>
    <row r="216" spans="1:10" x14ac:dyDescent="0.25">
      <c r="A216" t="s">
        <v>267</v>
      </c>
      <c r="B216" t="s">
        <v>273</v>
      </c>
      <c r="C216" s="64">
        <v>44012</v>
      </c>
      <c r="D216" s="65">
        <v>131424.20000000001</v>
      </c>
      <c r="E216" s="65">
        <v>0</v>
      </c>
      <c r="F216" s="66">
        <f t="shared" si="5"/>
        <v>131424.20000000001</v>
      </c>
      <c r="I216" s="67">
        <v>0</v>
      </c>
      <c r="J216" s="68">
        <v>131424.20000000001</v>
      </c>
    </row>
    <row r="217" spans="1:10" x14ac:dyDescent="0.25">
      <c r="A217" t="s">
        <v>267</v>
      </c>
      <c r="B217" t="s">
        <v>274</v>
      </c>
      <c r="C217" s="64">
        <v>44012</v>
      </c>
      <c r="D217" s="65">
        <v>6622.28</v>
      </c>
      <c r="E217" s="65">
        <v>0</v>
      </c>
      <c r="F217" s="66">
        <f t="shared" si="5"/>
        <v>6622.28</v>
      </c>
      <c r="I217" s="67">
        <v>0</v>
      </c>
      <c r="J217" s="68">
        <v>6622.28</v>
      </c>
    </row>
    <row r="218" spans="1:10" x14ac:dyDescent="0.25">
      <c r="A218" t="s">
        <v>267</v>
      </c>
      <c r="B218" t="s">
        <v>275</v>
      </c>
      <c r="C218" s="64">
        <v>44377</v>
      </c>
      <c r="D218" s="65">
        <v>71044.549999999988</v>
      </c>
      <c r="E218" s="65">
        <f>D218*0.03</f>
        <v>2131.3364999999994</v>
      </c>
      <c r="F218" s="66">
        <f t="shared" si="5"/>
        <v>68913.213499999983</v>
      </c>
      <c r="I218" s="67">
        <v>2131.3364999999994</v>
      </c>
      <c r="J218" s="68">
        <v>68913.213499999983</v>
      </c>
    </row>
    <row r="219" spans="1:10" x14ac:dyDescent="0.25">
      <c r="A219" t="s">
        <v>267</v>
      </c>
      <c r="B219" t="s">
        <v>266</v>
      </c>
      <c r="C219" s="64">
        <v>44377</v>
      </c>
      <c r="D219" s="65">
        <v>0</v>
      </c>
      <c r="E219" s="65">
        <v>0</v>
      </c>
      <c r="F219" s="66">
        <f t="shared" si="5"/>
        <v>0</v>
      </c>
      <c r="I219" s="67">
        <v>0</v>
      </c>
      <c r="J219" s="68">
        <v>0</v>
      </c>
    </row>
    <row r="220" spans="1:10" x14ac:dyDescent="0.25">
      <c r="A220" t="s">
        <v>267</v>
      </c>
      <c r="B220" t="s">
        <v>276</v>
      </c>
      <c r="C220" s="64">
        <v>44377</v>
      </c>
      <c r="D220" s="65">
        <v>179816.34</v>
      </c>
      <c r="E220" s="65">
        <v>0</v>
      </c>
      <c r="F220" s="66">
        <f t="shared" si="5"/>
        <v>179816.34</v>
      </c>
      <c r="I220" s="67">
        <v>0</v>
      </c>
      <c r="J220" s="68">
        <v>179816.34</v>
      </c>
    </row>
    <row r="221" spans="1:10" x14ac:dyDescent="0.25">
      <c r="A221" s="80" t="s">
        <v>267</v>
      </c>
      <c r="B221" s="80" t="s">
        <v>277</v>
      </c>
      <c r="C221" s="75">
        <v>44742</v>
      </c>
      <c r="D221" s="76">
        <v>37951.379999999997</v>
      </c>
      <c r="E221" s="76">
        <v>0</v>
      </c>
      <c r="F221" s="66">
        <f t="shared" si="5"/>
        <v>37951.379999999997</v>
      </c>
      <c r="I221" s="77">
        <v>0</v>
      </c>
      <c r="J221" s="68">
        <v>37951.379999999997</v>
      </c>
    </row>
    <row r="222" spans="1:10" x14ac:dyDescent="0.25">
      <c r="A222" t="s">
        <v>267</v>
      </c>
      <c r="B222" t="s">
        <v>278</v>
      </c>
      <c r="C222" s="64">
        <v>44742</v>
      </c>
      <c r="D222" s="65">
        <v>0</v>
      </c>
      <c r="E222" s="65">
        <v>0</v>
      </c>
      <c r="F222" s="66">
        <f t="shared" si="5"/>
        <v>0</v>
      </c>
      <c r="I222" s="67">
        <v>0</v>
      </c>
      <c r="J222" s="68">
        <v>0</v>
      </c>
    </row>
    <row r="223" spans="1:10" x14ac:dyDescent="0.25">
      <c r="A223" t="s">
        <v>104</v>
      </c>
      <c r="B223" s="63" t="s">
        <v>279</v>
      </c>
      <c r="C223" s="64">
        <v>41820</v>
      </c>
      <c r="D223" s="65">
        <v>21970</v>
      </c>
      <c r="E223" s="65">
        <v>0</v>
      </c>
      <c r="F223" s="66">
        <f t="shared" si="5"/>
        <v>21970</v>
      </c>
      <c r="I223" s="67">
        <v>0</v>
      </c>
      <c r="J223" s="68">
        <v>21970</v>
      </c>
    </row>
    <row r="224" spans="1:10" x14ac:dyDescent="0.25">
      <c r="A224" t="s">
        <v>104</v>
      </c>
      <c r="B224" s="63" t="s">
        <v>280</v>
      </c>
      <c r="C224" s="64">
        <v>41820</v>
      </c>
      <c r="D224" s="65">
        <v>175825</v>
      </c>
      <c r="E224" s="65">
        <v>0</v>
      </c>
      <c r="F224" s="66">
        <f t="shared" si="5"/>
        <v>175825</v>
      </c>
      <c r="I224" s="67">
        <v>0</v>
      </c>
      <c r="J224" s="68">
        <v>175825</v>
      </c>
    </row>
    <row r="225" spans="1:10" x14ac:dyDescent="0.25">
      <c r="A225" t="s">
        <v>104</v>
      </c>
      <c r="B225" t="s">
        <v>281</v>
      </c>
      <c r="C225" s="79">
        <v>42551</v>
      </c>
      <c r="D225" s="65">
        <v>74535.149999999994</v>
      </c>
      <c r="E225" s="65">
        <v>0</v>
      </c>
      <c r="F225" s="66">
        <f t="shared" si="5"/>
        <v>74535.149999999994</v>
      </c>
      <c r="I225" s="67">
        <v>0</v>
      </c>
      <c r="J225" s="68">
        <v>74535.149999999994</v>
      </c>
    </row>
    <row r="226" spans="1:10" x14ac:dyDescent="0.25">
      <c r="A226" t="s">
        <v>104</v>
      </c>
      <c r="B226" t="s">
        <v>282</v>
      </c>
      <c r="C226" s="79">
        <v>42916</v>
      </c>
      <c r="D226" s="65">
        <v>566311.88</v>
      </c>
      <c r="E226" s="65">
        <v>77867.883499999996</v>
      </c>
      <c r="F226" s="66">
        <f t="shared" si="5"/>
        <v>488443.99650000001</v>
      </c>
      <c r="I226" s="67">
        <v>77867.883499999996</v>
      </c>
      <c r="J226" s="68">
        <v>488443.99650000001</v>
      </c>
    </row>
    <row r="227" spans="1:10" x14ac:dyDescent="0.25">
      <c r="A227" t="s">
        <v>104</v>
      </c>
      <c r="B227" t="s">
        <v>283</v>
      </c>
      <c r="C227" s="64">
        <v>44012</v>
      </c>
      <c r="D227" s="65">
        <v>356971.78</v>
      </c>
      <c r="E227" s="65">
        <v>22310.736250000002</v>
      </c>
      <c r="F227" s="66">
        <f t="shared" si="5"/>
        <v>334661.04375000001</v>
      </c>
      <c r="I227" s="67">
        <v>22310.736250000002</v>
      </c>
      <c r="J227" s="68">
        <v>334661.04375000001</v>
      </c>
    </row>
    <row r="228" spans="1:10" x14ac:dyDescent="0.25">
      <c r="A228" t="s">
        <v>104</v>
      </c>
      <c r="B228" t="s">
        <v>284</v>
      </c>
      <c r="C228" s="64">
        <v>44742</v>
      </c>
      <c r="D228" s="69">
        <v>295808.90000000002</v>
      </c>
      <c r="E228" s="65">
        <v>3697.6112500000004</v>
      </c>
      <c r="F228" s="66">
        <f t="shared" si="5"/>
        <v>292111.28875000001</v>
      </c>
      <c r="G228" s="70" t="s">
        <v>55</v>
      </c>
      <c r="H228" s="71">
        <v>0.98</v>
      </c>
      <c r="I228" s="67">
        <v>3697.6112500000004</v>
      </c>
      <c r="J228" s="68">
        <v>292111.28875000001</v>
      </c>
    </row>
    <row r="229" spans="1:10" x14ac:dyDescent="0.25">
      <c r="A229" t="s">
        <v>104</v>
      </c>
      <c r="B229" t="s">
        <v>273</v>
      </c>
      <c r="C229" s="64">
        <v>44742</v>
      </c>
      <c r="D229" s="65">
        <v>161718.39000000001</v>
      </c>
      <c r="E229" s="65">
        <v>2021.4798750000002</v>
      </c>
      <c r="F229" s="66">
        <f t="shared" si="5"/>
        <v>159696.91012500002</v>
      </c>
      <c r="I229" s="67">
        <v>2021.4798750000002</v>
      </c>
      <c r="J229" s="68">
        <v>159696.91012500002</v>
      </c>
    </row>
    <row r="230" spans="1:10" x14ac:dyDescent="0.25">
      <c r="A230" t="s">
        <v>104</v>
      </c>
      <c r="B230" t="s">
        <v>278</v>
      </c>
      <c r="C230" s="64">
        <v>44742</v>
      </c>
      <c r="D230" s="65">
        <v>88636.17</v>
      </c>
      <c r="E230" s="65">
        <v>1107.952125</v>
      </c>
      <c r="F230" s="66">
        <f t="shared" si="5"/>
        <v>87528.217875000002</v>
      </c>
      <c r="I230" s="67">
        <v>1107.952125</v>
      </c>
      <c r="J230" s="68">
        <v>87528.217875000002</v>
      </c>
    </row>
    <row r="231" spans="1:10" x14ac:dyDescent="0.25">
      <c r="A231" t="s">
        <v>104</v>
      </c>
      <c r="B231" s="81" t="s">
        <v>285</v>
      </c>
      <c r="C231" s="82">
        <v>46022</v>
      </c>
      <c r="D231" s="83"/>
      <c r="E231" s="84"/>
      <c r="F231" s="83"/>
      <c r="G231" s="81"/>
      <c r="H231" s="81"/>
      <c r="I231" s="85"/>
      <c r="J231" s="86"/>
    </row>
    <row r="232" spans="1:10" x14ac:dyDescent="0.25">
      <c r="A232" t="s">
        <v>104</v>
      </c>
      <c r="B232" s="81" t="s">
        <v>286</v>
      </c>
      <c r="C232" s="82">
        <v>45838</v>
      </c>
      <c r="D232" s="83">
        <v>0</v>
      </c>
      <c r="E232" s="84"/>
      <c r="F232" s="83"/>
      <c r="G232" s="81"/>
      <c r="H232" s="81"/>
      <c r="I232" s="85"/>
      <c r="J232" s="86"/>
    </row>
    <row r="233" spans="1:10" x14ac:dyDescent="0.25">
      <c r="A233" t="s">
        <v>104</v>
      </c>
      <c r="B233" s="81" t="s">
        <v>287</v>
      </c>
      <c r="C233" s="87">
        <v>45503</v>
      </c>
      <c r="D233" s="84">
        <f>112166.8*0.11</f>
        <v>12338.348</v>
      </c>
      <c r="E233" s="84"/>
      <c r="F233" s="84"/>
      <c r="G233" s="81"/>
      <c r="I233" s="67"/>
      <c r="J233" s="68"/>
    </row>
    <row r="234" spans="1:10" x14ac:dyDescent="0.25">
      <c r="D234" s="88"/>
      <c r="E234" s="84"/>
      <c r="F234" s="83"/>
      <c r="G234" s="81"/>
      <c r="I234" s="67"/>
      <c r="J234" s="68"/>
    </row>
    <row r="235" spans="1:10" x14ac:dyDescent="0.25">
      <c r="C235" s="64"/>
      <c r="D235" s="65"/>
      <c r="E235" s="65"/>
      <c r="F235" s="66"/>
      <c r="I235" s="67"/>
      <c r="J235" s="68"/>
    </row>
    <row r="236" spans="1:10" x14ac:dyDescent="0.25">
      <c r="C236" s="64"/>
      <c r="D236" s="65"/>
      <c r="E236" s="65"/>
      <c r="F236" s="66"/>
      <c r="I236" s="67"/>
      <c r="J236" s="68"/>
    </row>
    <row r="237" spans="1:10" x14ac:dyDescent="0.25">
      <c r="C237" s="64"/>
      <c r="D237" s="65"/>
      <c r="E237" s="65"/>
      <c r="F237" s="66"/>
      <c r="I237" s="67"/>
      <c r="J237" s="68"/>
    </row>
    <row r="238" spans="1:10" x14ac:dyDescent="0.25">
      <c r="C238" s="64"/>
      <c r="D238" s="65"/>
      <c r="E238" s="65"/>
      <c r="F238" s="66"/>
      <c r="I238" s="67"/>
      <c r="J238" s="68"/>
    </row>
    <row r="239" spans="1:10" x14ac:dyDescent="0.25">
      <c r="C239" s="64"/>
      <c r="D239" s="65"/>
      <c r="E239" s="65"/>
      <c r="F239" s="66"/>
      <c r="I239" s="67"/>
      <c r="J239" s="68"/>
    </row>
    <row r="240" spans="1:10" x14ac:dyDescent="0.25">
      <c r="C240" s="64"/>
      <c r="D240" s="65"/>
      <c r="E240" s="65"/>
      <c r="F240" s="66"/>
      <c r="I240" s="67"/>
      <c r="J240" s="68"/>
    </row>
    <row r="241" spans="1:11" x14ac:dyDescent="0.25">
      <c r="C241" s="64"/>
      <c r="D241" s="65"/>
      <c r="E241" s="65"/>
      <c r="F241" s="66"/>
      <c r="I241" s="67"/>
      <c r="J241" s="68"/>
    </row>
    <row r="242" spans="1:11" ht="15.75" thickBot="1" x14ac:dyDescent="0.3">
      <c r="A242" s="89"/>
      <c r="B242" s="89"/>
      <c r="C242" s="89"/>
      <c r="D242" s="90"/>
      <c r="E242" s="90"/>
      <c r="F242" s="90"/>
      <c r="G242" s="89"/>
      <c r="H242" s="89"/>
      <c r="I242" s="89"/>
      <c r="J242" s="89"/>
      <c r="K242" s="89"/>
    </row>
    <row r="243" spans="1:11" x14ac:dyDescent="0.25">
      <c r="B243" t="s">
        <v>288</v>
      </c>
      <c r="D243" s="91">
        <f>SUM(D2:D242)-D228-D159-D157-D156-D155-D139-D40-D28-D5-D154-D185-D203-D205-D206-D37-D92-D198-D200</f>
        <v>32492008.898000017</v>
      </c>
      <c r="E243" s="88"/>
      <c r="F243" s="88">
        <f>SUM(F2:F242)</f>
        <v>26781612.919391658</v>
      </c>
      <c r="G243" s="89"/>
      <c r="H243" s="92">
        <v>28933104.649999999</v>
      </c>
      <c r="I243" s="93"/>
      <c r="J243" s="94">
        <v>27274533.5</v>
      </c>
      <c r="K243" s="89"/>
    </row>
    <row r="244" spans="1:11" x14ac:dyDescent="0.25">
      <c r="D244" s="88"/>
      <c r="E244" s="88"/>
      <c r="F244" s="88"/>
      <c r="G244" s="89"/>
      <c r="H244" s="95"/>
      <c r="I244" s="96"/>
      <c r="J244" s="97"/>
      <c r="K244" s="89"/>
    </row>
    <row r="245" spans="1:11" x14ac:dyDescent="0.25">
      <c r="D245" s="88"/>
      <c r="E245" s="88"/>
      <c r="F245" s="88"/>
      <c r="G245" s="89"/>
      <c r="H245" s="95"/>
      <c r="I245" s="96"/>
      <c r="J245" s="97"/>
      <c r="K245" s="89"/>
    </row>
    <row r="246" spans="1:11" x14ac:dyDescent="0.25">
      <c r="B246" t="s">
        <v>289</v>
      </c>
      <c r="D246" s="98">
        <v>0</v>
      </c>
      <c r="E246" s="88"/>
      <c r="F246" s="88"/>
      <c r="G246" s="89"/>
      <c r="H246" s="95">
        <v>6285960</v>
      </c>
      <c r="I246" s="96"/>
      <c r="J246" s="97"/>
      <c r="K246" s="89"/>
    </row>
    <row r="247" spans="1:11" x14ac:dyDescent="0.25">
      <c r="D247" s="88"/>
      <c r="E247" s="88"/>
      <c r="F247" s="88"/>
      <c r="G247" s="89"/>
      <c r="H247" s="95"/>
      <c r="I247" s="96"/>
      <c r="J247" s="97"/>
      <c r="K247" s="89"/>
    </row>
    <row r="248" spans="1:11" x14ac:dyDescent="0.25">
      <c r="D248" s="88"/>
      <c r="E248" s="88"/>
      <c r="F248" s="88"/>
      <c r="G248" s="89"/>
      <c r="H248" s="95"/>
      <c r="I248" s="96"/>
      <c r="J248" s="97"/>
      <c r="K248" s="89"/>
    </row>
    <row r="249" spans="1:11" x14ac:dyDescent="0.25">
      <c r="B249" s="99" t="s">
        <v>290</v>
      </c>
      <c r="D249" s="88">
        <f>D243-D246-'[1]CIP List'!H50</f>
        <v>32127427.898000017</v>
      </c>
      <c r="E249" s="88"/>
      <c r="F249" s="88">
        <f>F243</f>
        <v>26781612.919391658</v>
      </c>
      <c r="G249" s="89"/>
      <c r="H249" s="95">
        <v>22647144.649999999</v>
      </c>
      <c r="I249" s="96"/>
      <c r="J249" s="97">
        <f>J243</f>
        <v>27274533.5</v>
      </c>
      <c r="K249" s="89"/>
    </row>
    <row r="250" spans="1:11" x14ac:dyDescent="0.25">
      <c r="D250" s="88"/>
      <c r="E250" s="88"/>
      <c r="F250" s="88"/>
      <c r="G250" s="89"/>
      <c r="H250" s="95"/>
      <c r="I250" s="96"/>
      <c r="J250" s="97"/>
      <c r="K250" s="89"/>
    </row>
    <row r="251" spans="1:11" ht="15.75" thickBot="1" x14ac:dyDescent="0.3">
      <c r="B251" s="99" t="s">
        <v>291</v>
      </c>
      <c r="D251" s="100">
        <f>D228+D159+D157+D156+D155+D139+D40+D28+D5</f>
        <v>3546565.9</v>
      </c>
      <c r="E251" s="88"/>
      <c r="F251" s="100">
        <f>D251</f>
        <v>3546565.9</v>
      </c>
      <c r="G251" s="89"/>
      <c r="H251" s="101">
        <v>3546565.9</v>
      </c>
      <c r="I251" s="102"/>
      <c r="J251" s="103">
        <f>H251</f>
        <v>3546565.9</v>
      </c>
      <c r="K251" s="89"/>
    </row>
    <row r="252" spans="1:11" x14ac:dyDescent="0.25">
      <c r="D252" s="88"/>
      <c r="E252" s="88"/>
      <c r="F252" s="88"/>
      <c r="G252" s="89"/>
      <c r="H252" s="89"/>
      <c r="I252" s="89"/>
      <c r="J252" s="89"/>
      <c r="K252" s="89"/>
    </row>
  </sheetData>
  <sheetProtection algorithmName="SHA-512" hashValue="Gv2TyfVcXz0UIE3LbOr8bJpXs4CKOe3SY58PjIe1lRlmoeLibin8Q2vB2bsJ1r8Fu2QIkYgAQLVg0u4fzI5jTQ==" saltValue="gDGAtPJIlog3FmgUSy9m7g==" spinCount="100000" sheet="1" objects="1" scenarios="1" selectLockedCells="1"/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C87D1F-38F5-4311-9C20-A5E9F9EA165C}">
  <dimension ref="A1:G47"/>
  <sheetViews>
    <sheetView topLeftCell="A19" workbookViewId="0">
      <selection activeCell="G39" sqref="G39"/>
    </sheetView>
  </sheetViews>
  <sheetFormatPr defaultRowHeight="15" x14ac:dyDescent="0.25"/>
  <cols>
    <col min="1" max="1" width="46.42578125" bestFit="1" customWidth="1"/>
    <col min="2" max="2" width="11.85546875" bestFit="1" customWidth="1"/>
    <col min="3" max="3" width="10.85546875" bestFit="1" customWidth="1"/>
    <col min="4" max="4" width="11.140625" bestFit="1" customWidth="1"/>
    <col min="5" max="5" width="18" bestFit="1" customWidth="1"/>
    <col min="7" max="7" width="13.85546875" bestFit="1" customWidth="1"/>
  </cols>
  <sheetData>
    <row r="1" spans="1:7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47</v>
      </c>
      <c r="G1" s="2" t="s">
        <v>48</v>
      </c>
    </row>
    <row r="2" spans="1:7" x14ac:dyDescent="0.25">
      <c r="A2" s="3" t="s">
        <v>5</v>
      </c>
      <c r="B2" s="4" t="s">
        <v>6</v>
      </c>
      <c r="C2" s="5">
        <v>3915000</v>
      </c>
      <c r="D2" s="6"/>
      <c r="E2" s="7">
        <v>3915000</v>
      </c>
      <c r="F2" s="42">
        <v>0.495</v>
      </c>
      <c r="G2" s="43">
        <f>IFERROR(E2*F2,0)</f>
        <v>1937925</v>
      </c>
    </row>
    <row r="3" spans="1:7" ht="24.75" x14ac:dyDescent="0.25">
      <c r="A3" s="8" t="s">
        <v>7</v>
      </c>
      <c r="B3" s="4"/>
      <c r="C3" s="5">
        <v>600000</v>
      </c>
      <c r="D3" s="6"/>
      <c r="E3" s="7">
        <v>600000</v>
      </c>
      <c r="F3" s="42">
        <v>0.496</v>
      </c>
      <c r="G3" s="43">
        <f t="shared" ref="G3:G34" si="0">IFERROR(E3*F3,0)</f>
        <v>297600</v>
      </c>
    </row>
    <row r="4" spans="1:7" x14ac:dyDescent="0.25">
      <c r="A4" s="9" t="s">
        <v>8</v>
      </c>
      <c r="B4" s="4"/>
      <c r="C4" s="10">
        <v>40000000</v>
      </c>
      <c r="D4" s="6"/>
      <c r="E4" s="7">
        <v>40000000</v>
      </c>
      <c r="F4" s="42">
        <v>0.495</v>
      </c>
      <c r="G4" s="43">
        <f t="shared" si="0"/>
        <v>19800000</v>
      </c>
    </row>
    <row r="5" spans="1:7" x14ac:dyDescent="0.25">
      <c r="A5" s="3" t="s">
        <v>9</v>
      </c>
      <c r="B5" s="4"/>
      <c r="C5" s="5">
        <v>2605000</v>
      </c>
      <c r="D5" s="6"/>
      <c r="E5" s="7">
        <v>2605000</v>
      </c>
      <c r="F5" s="42">
        <v>0.97</v>
      </c>
      <c r="G5" s="43">
        <f t="shared" si="0"/>
        <v>2526850</v>
      </c>
    </row>
    <row r="6" spans="1:7" ht="24.75" x14ac:dyDescent="0.25">
      <c r="A6" s="8" t="s">
        <v>10</v>
      </c>
      <c r="B6" s="4" t="s">
        <v>6</v>
      </c>
      <c r="C6" s="5">
        <v>2017104</v>
      </c>
      <c r="D6" s="6"/>
      <c r="E6" s="7">
        <v>2017104</v>
      </c>
      <c r="F6" s="42">
        <v>0.97</v>
      </c>
      <c r="G6" s="43">
        <f t="shared" si="0"/>
        <v>1956590.88</v>
      </c>
    </row>
    <row r="7" spans="1:7" x14ac:dyDescent="0.25">
      <c r="A7" s="11" t="s">
        <v>11</v>
      </c>
      <c r="B7" s="12"/>
      <c r="C7" s="13"/>
      <c r="D7" s="7"/>
      <c r="E7" s="7">
        <v>1500000</v>
      </c>
      <c r="F7" s="44">
        <v>0.115</v>
      </c>
      <c r="G7" s="43">
        <f t="shared" si="0"/>
        <v>172500</v>
      </c>
    </row>
    <row r="8" spans="1:7" ht="24.75" x14ac:dyDescent="0.25">
      <c r="A8" s="8" t="s">
        <v>12</v>
      </c>
      <c r="B8" s="14" t="s">
        <v>13</v>
      </c>
      <c r="C8" s="5">
        <v>2085000</v>
      </c>
      <c r="D8" s="6">
        <v>569000</v>
      </c>
      <c r="E8" s="7">
        <v>2654000</v>
      </c>
      <c r="F8" s="42">
        <v>0.5</v>
      </c>
      <c r="G8" s="43">
        <f t="shared" si="0"/>
        <v>1327000</v>
      </c>
    </row>
    <row r="9" spans="1:7" x14ac:dyDescent="0.25">
      <c r="A9" s="15" t="s">
        <v>14</v>
      </c>
      <c r="B9" s="16">
        <v>2024</v>
      </c>
      <c r="C9" s="13">
        <v>413000</v>
      </c>
      <c r="D9" s="7"/>
      <c r="E9" s="7">
        <v>413000</v>
      </c>
      <c r="F9" s="42">
        <v>0.5</v>
      </c>
      <c r="G9" s="43">
        <f t="shared" si="0"/>
        <v>206500</v>
      </c>
    </row>
    <row r="10" spans="1:7" ht="24.75" x14ac:dyDescent="0.25">
      <c r="A10" s="17" t="s">
        <v>15</v>
      </c>
      <c r="B10" s="18"/>
      <c r="C10" s="13">
        <v>624000</v>
      </c>
      <c r="D10" s="7"/>
      <c r="E10" s="7">
        <v>624000</v>
      </c>
      <c r="F10" s="45">
        <v>0.44510828976848393</v>
      </c>
      <c r="G10" s="43">
        <f t="shared" si="0"/>
        <v>277747.57281553396</v>
      </c>
    </row>
    <row r="11" spans="1:7" ht="24.75" x14ac:dyDescent="0.25">
      <c r="A11" s="17" t="s">
        <v>16</v>
      </c>
      <c r="B11" s="18"/>
      <c r="C11" s="13"/>
      <c r="D11" s="7">
        <v>633000</v>
      </c>
      <c r="E11" s="7">
        <v>633000</v>
      </c>
      <c r="F11" s="45">
        <v>0.76500577838565686</v>
      </c>
      <c r="G11" s="43">
        <f t="shared" si="0"/>
        <v>484248.65771812078</v>
      </c>
    </row>
    <row r="12" spans="1:7" ht="24.75" x14ac:dyDescent="0.25">
      <c r="A12" s="17" t="s">
        <v>17</v>
      </c>
      <c r="B12" s="18"/>
      <c r="C12" s="13"/>
      <c r="D12" s="7">
        <v>6000</v>
      </c>
      <c r="E12" s="7">
        <v>6000</v>
      </c>
      <c r="F12" s="45">
        <v>0.44510828976848393</v>
      </c>
      <c r="G12" s="43">
        <f t="shared" si="0"/>
        <v>2670.6497386109036</v>
      </c>
    </row>
    <row r="13" spans="1:7" ht="24.75" x14ac:dyDescent="0.25">
      <c r="A13" s="17" t="s">
        <v>18</v>
      </c>
      <c r="B13" s="18"/>
      <c r="C13" s="13"/>
      <c r="D13" s="7">
        <v>725000</v>
      </c>
      <c r="E13" s="7">
        <v>725000</v>
      </c>
      <c r="F13" s="45">
        <v>0.7506711409395973</v>
      </c>
      <c r="G13" s="43">
        <f t="shared" si="0"/>
        <v>544236.57718120806</v>
      </c>
    </row>
    <row r="14" spans="1:7" ht="24.75" x14ac:dyDescent="0.25">
      <c r="A14" s="19" t="s">
        <v>19</v>
      </c>
      <c r="B14" s="16">
        <v>16000</v>
      </c>
      <c r="C14" s="13"/>
      <c r="D14" s="7"/>
      <c r="E14" s="7">
        <v>16000</v>
      </c>
      <c r="F14" s="45">
        <v>0.44510828976848393</v>
      </c>
      <c r="G14" s="43">
        <f t="shared" si="0"/>
        <v>7121.7326362957429</v>
      </c>
    </row>
    <row r="15" spans="1:7" ht="24.75" x14ac:dyDescent="0.25">
      <c r="A15" s="19" t="s">
        <v>20</v>
      </c>
      <c r="B15" s="16">
        <v>329000</v>
      </c>
      <c r="C15" s="13"/>
      <c r="D15" s="7"/>
      <c r="E15" s="7">
        <v>329000</v>
      </c>
      <c r="F15" s="45">
        <v>0.7506711409395973</v>
      </c>
      <c r="G15" s="43">
        <f t="shared" si="0"/>
        <v>246970.80536912751</v>
      </c>
    </row>
    <row r="16" spans="1:7" ht="36.75" x14ac:dyDescent="0.25">
      <c r="A16" s="17" t="s">
        <v>21</v>
      </c>
      <c r="B16" s="18"/>
      <c r="C16" s="13">
        <v>913000</v>
      </c>
      <c r="D16" s="7"/>
      <c r="E16" s="7">
        <v>913000</v>
      </c>
      <c r="F16" s="45">
        <v>0.77115968449759986</v>
      </c>
      <c r="G16" s="43">
        <f t="shared" si="0"/>
        <v>704068.79194630869</v>
      </c>
    </row>
    <row r="17" spans="1:7" ht="24.75" x14ac:dyDescent="0.25">
      <c r="A17" s="17" t="s">
        <v>22</v>
      </c>
      <c r="B17" s="18"/>
      <c r="C17" s="13"/>
      <c r="D17" s="7">
        <v>676000</v>
      </c>
      <c r="E17" s="7">
        <v>676000</v>
      </c>
      <c r="F17" s="45">
        <v>0.7506711409395973</v>
      </c>
      <c r="G17" s="43">
        <f t="shared" si="0"/>
        <v>507453.6912751678</v>
      </c>
    </row>
    <row r="18" spans="1:7" ht="24.75" x14ac:dyDescent="0.25">
      <c r="A18" s="17" t="s">
        <v>23</v>
      </c>
      <c r="B18" s="18"/>
      <c r="C18" s="13">
        <v>204000</v>
      </c>
      <c r="D18" s="7"/>
      <c r="E18" s="7">
        <v>204000</v>
      </c>
      <c r="F18" s="45">
        <v>0.7506711409395973</v>
      </c>
      <c r="G18" s="43">
        <f t="shared" si="0"/>
        <v>153136.91275167785</v>
      </c>
    </row>
    <row r="19" spans="1:7" ht="24.75" x14ac:dyDescent="0.25">
      <c r="A19" s="17" t="s">
        <v>24</v>
      </c>
      <c r="B19" s="18"/>
      <c r="C19" s="13">
        <v>58000</v>
      </c>
      <c r="D19" s="7"/>
      <c r="E19" s="7">
        <v>58000</v>
      </c>
      <c r="F19" s="45">
        <v>0.44510828976848393</v>
      </c>
      <c r="G19" s="43">
        <f t="shared" si="0"/>
        <v>25816.280806572067</v>
      </c>
    </row>
    <row r="20" spans="1:7" ht="24.75" x14ac:dyDescent="0.25">
      <c r="A20" s="8" t="s">
        <v>25</v>
      </c>
      <c r="B20" s="18"/>
      <c r="C20" s="13"/>
      <c r="D20" s="7">
        <v>963000</v>
      </c>
      <c r="E20" s="7">
        <v>963000</v>
      </c>
      <c r="F20" s="45">
        <v>1</v>
      </c>
      <c r="G20" s="43">
        <f t="shared" si="0"/>
        <v>963000</v>
      </c>
    </row>
    <row r="21" spans="1:7" ht="24.75" x14ac:dyDescent="0.25">
      <c r="A21" s="8" t="s">
        <v>26</v>
      </c>
      <c r="B21" s="18"/>
      <c r="C21" s="13"/>
      <c r="D21" s="7">
        <v>172000</v>
      </c>
      <c r="E21" s="7">
        <v>172000</v>
      </c>
      <c r="F21" s="45">
        <v>0.44510828976848393</v>
      </c>
      <c r="G21" s="43">
        <f t="shared" si="0"/>
        <v>76558.625840179244</v>
      </c>
    </row>
    <row r="22" spans="1:7" ht="24.75" x14ac:dyDescent="0.25">
      <c r="A22" s="8" t="s">
        <v>27</v>
      </c>
      <c r="B22" s="18"/>
      <c r="C22" s="13"/>
      <c r="D22" s="7">
        <v>330000</v>
      </c>
      <c r="E22" s="7">
        <v>330000</v>
      </c>
      <c r="F22" s="45">
        <v>0.7506711409395973</v>
      </c>
      <c r="G22" s="43">
        <f t="shared" si="0"/>
        <v>247721.47651006712</v>
      </c>
    </row>
    <row r="23" spans="1:7" ht="24.75" x14ac:dyDescent="0.25">
      <c r="A23" s="8" t="s">
        <v>28</v>
      </c>
      <c r="B23" s="18"/>
      <c r="C23" s="13"/>
      <c r="D23" s="7">
        <v>500000</v>
      </c>
      <c r="E23" s="7">
        <v>500000</v>
      </c>
      <c r="F23" s="45">
        <v>0.19</v>
      </c>
      <c r="G23" s="43">
        <f t="shared" si="0"/>
        <v>95000</v>
      </c>
    </row>
    <row r="24" spans="1:7" ht="24.75" x14ac:dyDescent="0.25">
      <c r="A24" s="8" t="s">
        <v>29</v>
      </c>
      <c r="B24" s="4"/>
      <c r="C24" s="5"/>
      <c r="D24" s="6">
        <v>721000</v>
      </c>
      <c r="E24" s="7">
        <v>721000</v>
      </c>
      <c r="F24" s="45">
        <v>1</v>
      </c>
      <c r="G24" s="43">
        <f t="shared" si="0"/>
        <v>721000</v>
      </c>
    </row>
    <row r="25" spans="1:7" x14ac:dyDescent="0.25">
      <c r="A25" s="3" t="s">
        <v>30</v>
      </c>
      <c r="B25" s="18"/>
      <c r="C25" s="13">
        <v>568000</v>
      </c>
      <c r="D25" s="7"/>
      <c r="E25" s="7">
        <v>568000</v>
      </c>
      <c r="F25" s="45">
        <v>0.1</v>
      </c>
      <c r="G25" s="43">
        <f t="shared" si="0"/>
        <v>56800</v>
      </c>
    </row>
    <row r="26" spans="1:7" x14ac:dyDescent="0.25">
      <c r="A26" s="3" t="s">
        <v>31</v>
      </c>
      <c r="C26" s="5"/>
      <c r="D26" s="6">
        <v>2886000</v>
      </c>
      <c r="E26" s="7">
        <v>2886000</v>
      </c>
      <c r="F26" s="45">
        <v>0.97</v>
      </c>
      <c r="G26" s="43">
        <f t="shared" si="0"/>
        <v>2799420</v>
      </c>
    </row>
    <row r="27" spans="1:7" x14ac:dyDescent="0.25">
      <c r="A27" s="3" t="s">
        <v>32</v>
      </c>
      <c r="B27" s="5"/>
      <c r="C27" s="5"/>
      <c r="D27" s="6">
        <v>3078000</v>
      </c>
      <c r="E27" s="7">
        <v>3078000</v>
      </c>
      <c r="F27" s="45">
        <v>0.97</v>
      </c>
      <c r="G27" s="43">
        <f t="shared" si="0"/>
        <v>2985660</v>
      </c>
    </row>
    <row r="28" spans="1:7" ht="24.75" x14ac:dyDescent="0.25">
      <c r="A28" s="8" t="s">
        <v>33</v>
      </c>
      <c r="B28" s="5"/>
      <c r="C28" s="5"/>
      <c r="D28" s="6">
        <v>2678000</v>
      </c>
      <c r="E28" s="7">
        <v>2678000</v>
      </c>
      <c r="F28" s="45">
        <v>0.97</v>
      </c>
      <c r="G28" s="43">
        <f t="shared" si="0"/>
        <v>2597660</v>
      </c>
    </row>
    <row r="29" spans="1:7" x14ac:dyDescent="0.25">
      <c r="A29" s="3" t="s">
        <v>34</v>
      </c>
      <c r="B29" s="20"/>
      <c r="C29" s="5"/>
      <c r="D29" s="6">
        <v>150000</v>
      </c>
      <c r="E29" s="7">
        <v>150000</v>
      </c>
      <c r="F29" s="42">
        <v>0.495</v>
      </c>
      <c r="G29" s="43">
        <f t="shared" si="0"/>
        <v>74250</v>
      </c>
    </row>
    <row r="30" spans="1:7" x14ac:dyDescent="0.25">
      <c r="A30" s="3" t="s">
        <v>35</v>
      </c>
      <c r="B30" s="20"/>
      <c r="C30" s="5"/>
      <c r="D30" s="6"/>
      <c r="E30" s="7">
        <v>300000</v>
      </c>
      <c r="F30" s="42">
        <v>0.495</v>
      </c>
      <c r="G30" s="43">
        <f t="shared" si="0"/>
        <v>148500</v>
      </c>
    </row>
    <row r="31" spans="1:7" x14ac:dyDescent="0.25">
      <c r="A31" s="3" t="s">
        <v>36</v>
      </c>
      <c r="B31" s="20"/>
      <c r="C31" s="5">
        <v>280000</v>
      </c>
      <c r="D31" s="6"/>
      <c r="E31" s="7">
        <v>280000</v>
      </c>
      <c r="F31" s="42">
        <v>0.495</v>
      </c>
      <c r="G31" s="43">
        <f t="shared" si="0"/>
        <v>138600</v>
      </c>
    </row>
    <row r="32" spans="1:7" x14ac:dyDescent="0.25">
      <c r="A32" s="3" t="s">
        <v>37</v>
      </c>
      <c r="B32" s="13"/>
      <c r="C32" s="13"/>
      <c r="D32" s="7">
        <v>200000</v>
      </c>
      <c r="E32" s="7">
        <v>200000</v>
      </c>
      <c r="F32" s="42">
        <v>0.495</v>
      </c>
      <c r="G32" s="43">
        <f t="shared" si="0"/>
        <v>99000</v>
      </c>
    </row>
    <row r="33" spans="1:7" x14ac:dyDescent="0.25">
      <c r="A33" s="21" t="s">
        <v>38</v>
      </c>
      <c r="B33" s="22" t="s">
        <v>39</v>
      </c>
      <c r="C33" s="23">
        <v>844145</v>
      </c>
      <c r="D33" s="6"/>
      <c r="E33" s="7">
        <v>844145</v>
      </c>
      <c r="F33" s="45">
        <v>0.2</v>
      </c>
      <c r="G33" s="43">
        <f t="shared" si="0"/>
        <v>168829</v>
      </c>
    </row>
    <row r="34" spans="1:7" ht="27.75" x14ac:dyDescent="0.25">
      <c r="A34" s="24" t="s">
        <v>40</v>
      </c>
      <c r="B34" s="25"/>
      <c r="C34" s="26"/>
      <c r="D34" s="26"/>
      <c r="E34" s="27">
        <v>0</v>
      </c>
      <c r="F34" s="46">
        <v>0.2</v>
      </c>
      <c r="G34" s="43">
        <f t="shared" si="0"/>
        <v>0</v>
      </c>
    </row>
    <row r="35" spans="1:7" x14ac:dyDescent="0.25">
      <c r="A35" s="28"/>
      <c r="B35" s="29"/>
      <c r="C35" s="30"/>
      <c r="D35" s="31"/>
      <c r="E35" s="32"/>
      <c r="F35" s="47"/>
      <c r="G35" s="48"/>
    </row>
    <row r="36" spans="1:7" x14ac:dyDescent="0.25">
      <c r="A36" s="33" t="s">
        <v>41</v>
      </c>
      <c r="B36" s="34"/>
      <c r="C36" s="34"/>
      <c r="D36" s="34"/>
      <c r="E36" s="34">
        <f>SUM(E2:E35)</f>
        <v>71558249</v>
      </c>
      <c r="F36" s="49"/>
      <c r="G36" s="50">
        <f>SUM(G2:G35)</f>
        <v>42350436.654588863</v>
      </c>
    </row>
    <row r="37" spans="1:7" x14ac:dyDescent="0.25">
      <c r="A37" s="35" t="s">
        <v>42</v>
      </c>
      <c r="B37" s="13"/>
      <c r="C37" s="13"/>
      <c r="D37" s="13"/>
      <c r="E37" s="13"/>
      <c r="F37" s="51"/>
      <c r="G37" s="52"/>
    </row>
    <row r="38" spans="1:7" ht="24.75" x14ac:dyDescent="0.25">
      <c r="A38" s="8" t="s">
        <v>43</v>
      </c>
      <c r="B38" s="20"/>
      <c r="C38" s="5"/>
      <c r="D38" s="5">
        <v>2105000</v>
      </c>
      <c r="E38" s="13">
        <v>2105000</v>
      </c>
      <c r="F38" s="51">
        <v>1</v>
      </c>
      <c r="G38" s="52">
        <f>E38*F38</f>
        <v>2105000</v>
      </c>
    </row>
    <row r="39" spans="1:7" x14ac:dyDescent="0.25">
      <c r="A39" s="3"/>
      <c r="B39" s="4"/>
      <c r="C39" s="5"/>
      <c r="D39" s="5"/>
      <c r="E39" s="13"/>
      <c r="F39" s="51"/>
      <c r="G39" s="53"/>
    </row>
    <row r="40" spans="1:7" x14ac:dyDescent="0.25">
      <c r="A40" s="33" t="s">
        <v>44</v>
      </c>
      <c r="B40" s="34"/>
      <c r="C40" s="34"/>
      <c r="D40" s="34"/>
      <c r="E40" s="34">
        <v>2105000</v>
      </c>
      <c r="F40" s="54"/>
      <c r="G40" s="34">
        <v>2232563</v>
      </c>
    </row>
    <row r="41" spans="1:7" x14ac:dyDescent="0.25">
      <c r="A41" s="36"/>
      <c r="B41" s="37"/>
      <c r="C41" s="37"/>
      <c r="D41" s="37"/>
      <c r="E41" s="38"/>
      <c r="F41" s="38"/>
      <c r="G41" s="37"/>
    </row>
    <row r="43" spans="1:7" x14ac:dyDescent="0.25">
      <c r="E43" s="39" t="s">
        <v>45</v>
      </c>
      <c r="F43" s="39"/>
      <c r="G43" s="55">
        <v>364581</v>
      </c>
    </row>
    <row r="45" spans="1:7" x14ac:dyDescent="0.25">
      <c r="G45" s="56">
        <f>G36-G43</f>
        <v>41985855.654588863</v>
      </c>
    </row>
    <row r="47" spans="1:7" x14ac:dyDescent="0.25">
      <c r="A47" s="40" t="s">
        <v>46</v>
      </c>
      <c r="B47" s="40"/>
      <c r="C47" s="40"/>
      <c r="D47" s="40"/>
      <c r="E47" s="41">
        <v>7000000</v>
      </c>
      <c r="F47" s="57">
        <v>0.495</v>
      </c>
      <c r="G47" s="41">
        <v>3465000</v>
      </c>
    </row>
  </sheetData>
  <sheetProtection algorithmName="SHA-512" hashValue="Lh1OgV38lEX13y4Cm57NCqZj7iY4soUfiFXAO9yCnC41xD7T5pXL6SVZH/+qKq6J6HhWWoQ/DsKUnQIuP664Ug==" saltValue="D3wUce80ym1RsQeAeeVW9g==" spinCount="100000" sheet="1" objects="1" scenarios="1" selectLockedCells="1"/>
  <autoFilter ref="A1:G34" xr:uid="{88C87D1F-38F5-4311-9C20-A5E9F9EA165C}"/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SDC Per Meter Size</vt:lpstr>
      <vt:lpstr>Charge Analysis</vt:lpstr>
      <vt:lpstr>Planning Data</vt:lpstr>
      <vt:lpstr>Inventory of Current System</vt:lpstr>
      <vt:lpstr>CIP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Danette Hilton</dc:creator>
  <cp:lastModifiedBy>Danette Hilton</cp:lastModifiedBy>
  <dcterms:created xsi:type="dcterms:W3CDTF">2026-09-29T17:42:15Z</dcterms:created>
  <dcterms:modified xsi:type="dcterms:W3CDTF">2026-09-29T18:26:58Z</dcterms:modified>
</cp:coreProperties>
</file>